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xl/volatileDependencies.xml" ContentType="application/vnd.openxmlformats-officedocument.spreadsheetml.volatileDependenc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C:\Users\Zhili\OneDrive\Online Business\Your Success Report\Giga Certainty\Products and Services\Copy Trading\"/>
    </mc:Choice>
  </mc:AlternateContent>
  <xr:revisionPtr revIDLastSave="0" documentId="13_ncr:1_{D48EED67-8613-4485-9B07-EC4F5B06D853}" xr6:coauthVersionLast="47" xr6:coauthVersionMax="47" xr10:uidLastSave="{00000000-0000-0000-0000-000000000000}"/>
  <bookViews>
    <workbookView xWindow="-120" yWindow="-120" windowWidth="29040" windowHeight="15840" tabRatio="883" xr2:uid="{00000000-000D-0000-FFFF-FFFF00000000}"/>
  </bookViews>
  <sheets>
    <sheet name="Disclaimer" sheetId="89" r:id="rId1"/>
    <sheet name="Long Strategy" sheetId="84" r:id="rId2"/>
    <sheet name="Short Strategy" sheetId="85" r:id="rId3"/>
    <sheet name="Dual Strategy" sheetId="87" r:id="rId4"/>
    <sheet name="Neutral Strategy" sheetId="88" r:id="rId5"/>
    <sheet name="Cash Flow Strategy" sheetId="86" r:id="rId6"/>
  </sheets>
  <definedNames>
    <definedName name="_xleta.N" hidden="1" xlm="1">#NAME?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2" i="85" l="1"/>
  <c r="F22" i="85"/>
  <c r="O15" i="85"/>
  <c r="F15" i="85"/>
  <c r="P28" i="88"/>
  <c r="N28" i="88"/>
  <c r="F28" i="88"/>
  <c r="P27" i="88"/>
  <c r="N27" i="88"/>
  <c r="P26" i="88"/>
  <c r="F26" i="88"/>
  <c r="F27" i="88" s="1"/>
  <c r="E26" i="88"/>
  <c r="E28" i="88" s="1"/>
  <c r="D26" i="88"/>
  <c r="D25" i="88" s="1"/>
  <c r="W25" i="88" s="1"/>
  <c r="P25" i="88"/>
  <c r="N25" i="88"/>
  <c r="F25" i="88"/>
  <c r="A23" i="88"/>
  <c r="B22" i="88"/>
  <c r="T27" i="88" s="1"/>
  <c r="A22" i="88"/>
  <c r="A21" i="88"/>
  <c r="T19" i="88"/>
  <c r="R19" i="88"/>
  <c r="P19" i="88"/>
  <c r="N19" i="88"/>
  <c r="G19" i="88"/>
  <c r="E19" i="88"/>
  <c r="D19" i="88"/>
  <c r="W19" i="88" s="1"/>
  <c r="W18" i="88"/>
  <c r="T18" i="88"/>
  <c r="R18" i="88"/>
  <c r="P18" i="88"/>
  <c r="K18" i="88"/>
  <c r="V18" i="88" s="1"/>
  <c r="T17" i="88"/>
  <c r="R17" i="88"/>
  <c r="P17" i="88"/>
  <c r="N17" i="88"/>
  <c r="G17" i="88"/>
  <c r="E17" i="88"/>
  <c r="D17" i="88"/>
  <c r="W17" i="88" s="1"/>
  <c r="M16" i="88"/>
  <c r="A4" i="88"/>
  <c r="T15" i="87"/>
  <c r="R15" i="87"/>
  <c r="N15" i="87"/>
  <c r="F15" i="87"/>
  <c r="E15" i="87"/>
  <c r="D15" i="87"/>
  <c r="W15" i="87" s="1"/>
  <c r="W14" i="87"/>
  <c r="T14" i="87"/>
  <c r="R14" i="87"/>
  <c r="K14" i="87"/>
  <c r="U14" i="87" s="1"/>
  <c r="A4" i="87"/>
  <c r="T22" i="86"/>
  <c r="R22" i="86"/>
  <c r="N22" i="86"/>
  <c r="E22" i="86"/>
  <c r="K22" i="86" s="1"/>
  <c r="D22" i="86"/>
  <c r="W22" i="86" s="1"/>
  <c r="W21" i="86"/>
  <c r="T21" i="86"/>
  <c r="R21" i="86"/>
  <c r="K21" i="86"/>
  <c r="U21" i="86" s="1"/>
  <c r="M20" i="86"/>
  <c r="T15" i="86"/>
  <c r="R15" i="86"/>
  <c r="N15" i="86"/>
  <c r="E15" i="86"/>
  <c r="K15" i="86" s="1"/>
  <c r="S15" i="86" s="1"/>
  <c r="D15" i="86"/>
  <c r="W15" i="86" s="1"/>
  <c r="W14" i="86"/>
  <c r="T14" i="86"/>
  <c r="R14" i="86"/>
  <c r="K14" i="86"/>
  <c r="S14" i="86" s="1"/>
  <c r="M13" i="86"/>
  <c r="A4" i="86"/>
  <c r="K20" i="84"/>
  <c r="S20" i="84" s="1"/>
  <c r="T21" i="85"/>
  <c r="R21" i="85"/>
  <c r="N21" i="85"/>
  <c r="E21" i="85"/>
  <c r="K21" i="85" s="1"/>
  <c r="D21" i="85"/>
  <c r="W21" i="85" s="1"/>
  <c r="W20" i="85"/>
  <c r="T20" i="85"/>
  <c r="R20" i="85"/>
  <c r="K20" i="85"/>
  <c r="U20" i="85" s="1"/>
  <c r="M19" i="85"/>
  <c r="W14" i="85"/>
  <c r="T14" i="85"/>
  <c r="R14" i="85"/>
  <c r="K14" i="85"/>
  <c r="U14" i="85" s="1"/>
  <c r="A4" i="85"/>
  <c r="T21" i="84"/>
  <c r="R21" i="84"/>
  <c r="N21" i="84"/>
  <c r="E21" i="84"/>
  <c r="K21" i="84" s="1"/>
  <c r="D21" i="84"/>
  <c r="W21" i="84" s="1"/>
  <c r="W20" i="84"/>
  <c r="T20" i="84"/>
  <c r="R20" i="84"/>
  <c r="M19" i="84"/>
  <c r="W14" i="84"/>
  <c r="T14" i="84"/>
  <c r="R14" i="84"/>
  <c r="K14" i="84"/>
  <c r="S14" i="84" s="1"/>
  <c r="M13" i="84"/>
  <c r="A4" i="84"/>
  <c r="K17" i="88" l="1"/>
  <c r="S17" i="88" s="1"/>
  <c r="S21" i="86"/>
  <c r="AD21" i="86" s="1"/>
  <c r="K15" i="87"/>
  <c r="Q15" i="87" s="1"/>
  <c r="Y15" i="87" s="1"/>
  <c r="S18" i="88"/>
  <c r="K19" i="88"/>
  <c r="U19" i="88" s="1"/>
  <c r="P29" i="88"/>
  <c r="P20" i="88"/>
  <c r="E25" i="88"/>
  <c r="K25" i="88" s="1"/>
  <c r="AE18" i="88"/>
  <c r="R26" i="88"/>
  <c r="D27" i="88"/>
  <c r="W27" i="88" s="1"/>
  <c r="L17" i="88"/>
  <c r="Q17" i="88"/>
  <c r="Y17" i="88" s="1"/>
  <c r="W26" i="88"/>
  <c r="E27" i="88"/>
  <c r="K27" i="88" s="1"/>
  <c r="R27" i="88"/>
  <c r="D28" i="88"/>
  <c r="W28" i="88" s="1"/>
  <c r="M30" i="88"/>
  <c r="M24" i="88" s="1"/>
  <c r="R25" i="88"/>
  <c r="T28" i="88"/>
  <c r="Q18" i="88"/>
  <c r="U18" i="88"/>
  <c r="T25" i="88"/>
  <c r="T26" i="88"/>
  <c r="R28" i="88"/>
  <c r="K28" i="88"/>
  <c r="L18" i="88"/>
  <c r="O18" i="88" s="1"/>
  <c r="K26" i="88"/>
  <c r="S14" i="87"/>
  <c r="AD14" i="87" s="1"/>
  <c r="L14" i="87"/>
  <c r="V14" i="87"/>
  <c r="AE14" i="87" s="1"/>
  <c r="U15" i="87"/>
  <c r="Q14" i="87"/>
  <c r="U22" i="86"/>
  <c r="V22" i="86"/>
  <c r="AE22" i="86" s="1"/>
  <c r="V14" i="86"/>
  <c r="AE14" i="86" s="1"/>
  <c r="L14" i="86"/>
  <c r="L21" i="86"/>
  <c r="V21" i="86"/>
  <c r="AE21" i="86" s="1"/>
  <c r="Q14" i="86"/>
  <c r="U14" i="86"/>
  <c r="AD14" i="86" s="1"/>
  <c r="L15" i="86"/>
  <c r="Q15" i="86"/>
  <c r="Y15" i="86" s="1"/>
  <c r="U15" i="86"/>
  <c r="AD15" i="86" s="1"/>
  <c r="S22" i="86"/>
  <c r="V15" i="86"/>
  <c r="AE15" i="86" s="1"/>
  <c r="Q21" i="86"/>
  <c r="L22" i="86"/>
  <c r="Q22" i="86"/>
  <c r="S21" i="85"/>
  <c r="Q21" i="85"/>
  <c r="U21" i="85"/>
  <c r="L21" i="85"/>
  <c r="O21" i="85" s="1"/>
  <c r="P21" i="85" s="1"/>
  <c r="L20" i="85"/>
  <c r="V20" i="85"/>
  <c r="AE20" i="85" s="1"/>
  <c r="V21" i="85"/>
  <c r="AE21" i="85" s="1"/>
  <c r="S20" i="85"/>
  <c r="AD20" i="85" s="1"/>
  <c r="Q20" i="85"/>
  <c r="L14" i="85"/>
  <c r="O14" i="85" s="1"/>
  <c r="P14" i="85" s="1"/>
  <c r="V14" i="85"/>
  <c r="AE14" i="85" s="1"/>
  <c r="S14" i="85"/>
  <c r="AD14" i="85" s="1"/>
  <c r="Q14" i="85"/>
  <c r="S21" i="84"/>
  <c r="U21" i="84"/>
  <c r="V21" i="84"/>
  <c r="AE21" i="84" s="1"/>
  <c r="Q21" i="84"/>
  <c r="L21" i="84"/>
  <c r="O21" i="84" s="1"/>
  <c r="P21" i="84" s="1"/>
  <c r="U20" i="84"/>
  <c r="AD20" i="84" s="1"/>
  <c r="L20" i="84"/>
  <c r="V20" i="84"/>
  <c r="AE20" i="84" s="1"/>
  <c r="Q20" i="84"/>
  <c r="L14" i="84"/>
  <c r="V14" i="84"/>
  <c r="AE14" i="84" s="1"/>
  <c r="Q14" i="84"/>
  <c r="U14" i="84"/>
  <c r="AD14" i="84" s="1"/>
  <c r="V15" i="87" l="1"/>
  <c r="AE15" i="87" s="1"/>
  <c r="O14" i="87"/>
  <c r="P14" i="87" s="1"/>
  <c r="F15" i="84"/>
  <c r="O15" i="84"/>
  <c r="S15" i="87"/>
  <c r="AD15" i="87" s="1"/>
  <c r="L15" i="87"/>
  <c r="O15" i="87" s="1"/>
  <c r="P15" i="87" s="1"/>
  <c r="V17" i="88"/>
  <c r="AE17" i="88" s="1"/>
  <c r="U17" i="88"/>
  <c r="AD17" i="88" s="1"/>
  <c r="L13" i="86"/>
  <c r="Z22" i="86"/>
  <c r="AD22" i="86"/>
  <c r="V19" i="88"/>
  <c r="AE19" i="88" s="1"/>
  <c r="L19" i="88"/>
  <c r="O19" i="88" s="1"/>
  <c r="Q19" i="88"/>
  <c r="AB19" i="88" s="1"/>
  <c r="O21" i="86"/>
  <c r="L23" i="86"/>
  <c r="O14" i="86"/>
  <c r="L16" i="86"/>
  <c r="S19" i="88"/>
  <c r="AD19" i="88" s="1"/>
  <c r="U25" i="88"/>
  <c r="Q25" i="88"/>
  <c r="L25" i="88"/>
  <c r="V25" i="88"/>
  <c r="AE25" i="88" s="1"/>
  <c r="S25" i="88"/>
  <c r="AB18" i="88"/>
  <c r="Z18" i="88"/>
  <c r="Y18" i="88"/>
  <c r="U26" i="88"/>
  <c r="Q26" i="88"/>
  <c r="V26" i="88"/>
  <c r="AE26" i="88" s="1"/>
  <c r="L26" i="88"/>
  <c r="O26" i="88" s="1"/>
  <c r="S26" i="88"/>
  <c r="F20" i="88"/>
  <c r="E20" i="88" s="1"/>
  <c r="F16" i="88"/>
  <c r="E16" i="88" s="1"/>
  <c r="S28" i="88"/>
  <c r="V28" i="88"/>
  <c r="AE28" i="88" s="1"/>
  <c r="U28" i="88"/>
  <c r="Q28" i="88"/>
  <c r="L28" i="88"/>
  <c r="O28" i="88" s="1"/>
  <c r="AB17" i="88"/>
  <c r="O17" i="88"/>
  <c r="AD18" i="88"/>
  <c r="Q27" i="88"/>
  <c r="S27" i="88"/>
  <c r="L27" i="88"/>
  <c r="O27" i="88" s="1"/>
  <c r="V27" i="88"/>
  <c r="AE27" i="88" s="1"/>
  <c r="U27" i="88"/>
  <c r="AD21" i="85"/>
  <c r="AB15" i="87"/>
  <c r="Z15" i="87"/>
  <c r="AB14" i="87"/>
  <c r="AG14" i="87" s="1"/>
  <c r="Z14" i="87"/>
  <c r="Y14" i="87"/>
  <c r="Y22" i="86"/>
  <c r="Z15" i="86"/>
  <c r="AB14" i="86"/>
  <c r="AG14" i="86" s="1"/>
  <c r="Z14" i="86"/>
  <c r="Y14" i="86"/>
  <c r="AB22" i="86"/>
  <c r="Z21" i="86"/>
  <c r="AB21" i="86"/>
  <c r="AG21" i="86" s="1"/>
  <c r="Y21" i="86"/>
  <c r="O22" i="86"/>
  <c r="AB15" i="86"/>
  <c r="AG15" i="86" s="1"/>
  <c r="L20" i="86"/>
  <c r="O15" i="86"/>
  <c r="Z21" i="85"/>
  <c r="Y21" i="85"/>
  <c r="AB21" i="85"/>
  <c r="Z21" i="84"/>
  <c r="L22" i="85"/>
  <c r="O20" i="85"/>
  <c r="P20" i="85" s="1"/>
  <c r="L19" i="85"/>
  <c r="Y20" i="85"/>
  <c r="Z20" i="85"/>
  <c r="AB20" i="85"/>
  <c r="AG20" i="85" s="1"/>
  <c r="Z14" i="85"/>
  <c r="AB14" i="85"/>
  <c r="AG14" i="85" s="1"/>
  <c r="Y14" i="85"/>
  <c r="AD21" i="84"/>
  <c r="Y21" i="84"/>
  <c r="AB21" i="84"/>
  <c r="Y20" i="84"/>
  <c r="AB20" i="84"/>
  <c r="AG20" i="84" s="1"/>
  <c r="Z20" i="84"/>
  <c r="L22" i="84"/>
  <c r="O20" i="84"/>
  <c r="P20" i="84" s="1"/>
  <c r="L19" i="84"/>
  <c r="Y14" i="84"/>
  <c r="Z14" i="84"/>
  <c r="AB14" i="84"/>
  <c r="AG14" i="84" s="1"/>
  <c r="O14" i="84"/>
  <c r="P14" i="84" s="1"/>
  <c r="F23" i="86" l="1"/>
  <c r="O23" i="86"/>
  <c r="F16" i="86"/>
  <c r="O16" i="86"/>
  <c r="Z17" i="88"/>
  <c r="L16" i="87"/>
  <c r="F22" i="84"/>
  <c r="O22" i="84"/>
  <c r="AG15" i="87"/>
  <c r="AD26" i="88"/>
  <c r="P21" i="86"/>
  <c r="P14" i="86"/>
  <c r="O20" i="88"/>
  <c r="AG22" i="86"/>
  <c r="AG19" i="88"/>
  <c r="L20" i="88"/>
  <c r="L16" i="88" s="1"/>
  <c r="G16" i="88" s="1"/>
  <c r="Z19" i="88"/>
  <c r="Y19" i="88"/>
  <c r="AD27" i="88"/>
  <c r="AD25" i="88"/>
  <c r="AD28" i="88"/>
  <c r="Y28" i="88"/>
  <c r="AB28" i="88"/>
  <c r="Z28" i="88"/>
  <c r="F24" i="88"/>
  <c r="E24" i="88" s="1"/>
  <c r="F29" i="88"/>
  <c r="E29" i="88" s="1"/>
  <c r="Y27" i="88"/>
  <c r="Z27" i="88"/>
  <c r="AB27" i="88"/>
  <c r="Z26" i="88"/>
  <c r="AB26" i="88"/>
  <c r="Y26" i="88"/>
  <c r="L29" i="88"/>
  <c r="O25" i="88"/>
  <c r="AG17" i="88"/>
  <c r="AG18" i="88"/>
  <c r="Y25" i="88"/>
  <c r="Z25" i="88"/>
  <c r="AB25" i="88"/>
  <c r="AG21" i="85"/>
  <c r="P15" i="86"/>
  <c r="P22" i="86"/>
  <c r="AG21" i="84"/>
  <c r="L30" i="88" l="1"/>
  <c r="L24" i="88" s="1"/>
  <c r="O30" i="88"/>
  <c r="O29" i="88"/>
  <c r="F16" i="87"/>
  <c r="O16" i="87"/>
  <c r="F17" i="87"/>
  <c r="AG26" i="88"/>
  <c r="G20" i="88"/>
  <c r="AG25" i="88"/>
  <c r="AG27" i="88"/>
  <c r="AG28" i="88"/>
  <c r="G24" i="88" l="1"/>
  <c r="G29" i="8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Zhili Zhang</author>
    <author>Zhili</author>
  </authors>
  <commentList>
    <comment ref="R7" authorId="0" shapeId="0" xr:uid="{C8A8E59D-8247-43E8-9FBC-3B78CEC0AB7F}">
      <text>
        <r>
          <rPr>
            <sz val="9"/>
            <color indexed="81"/>
            <rFont val="宋体"/>
            <family val="3"/>
            <charset val="134"/>
          </rPr>
          <t xml:space="preserve">
Choose from below:
Last
Close</t>
        </r>
      </text>
    </comment>
    <comment ref="T7" authorId="0" shapeId="0" xr:uid="{91EC5A92-DD7E-4BB6-9447-03AEE53EAF1C}">
      <text>
        <r>
          <rPr>
            <sz val="9"/>
            <color indexed="81"/>
            <rFont val="宋体"/>
            <family val="3"/>
            <charset val="134"/>
          </rPr>
          <t xml:space="preserve">
Choose from below:
OptionHistoricalVol
RTHistoricalVol</t>
        </r>
      </text>
    </comment>
    <comment ref="U7" authorId="0" shapeId="0" xr:uid="{2494B76E-4833-4F17-A908-984DCA595C96}">
      <text>
        <r>
          <rPr>
            <sz val="9"/>
            <color indexed="81"/>
            <rFont val="宋体"/>
            <family val="3"/>
            <charset val="134"/>
          </rPr>
          <t xml:space="preserve">
Choose from below:
LastImpliedVol
ModelImpliedVol</t>
        </r>
      </text>
    </comment>
    <comment ref="V8" authorId="0" shapeId="0" xr:uid="{9CA89E62-4B93-4859-8076-451E8C7A54C7}">
      <text>
        <r>
          <rPr>
            <sz val="9"/>
            <color indexed="81"/>
            <rFont val="宋体"/>
            <family val="3"/>
            <charset val="134"/>
          </rPr>
          <t xml:space="preserve">
This is a toggle. If Theta needs to be considered for the total risk of an option legs, enter 'ON' in this field; otherwise, leave it blank.
</t>
        </r>
      </text>
    </comment>
    <comment ref="F15" authorId="1" shapeId="0" xr:uid="{ACD70730-323F-43D3-8586-B6C518410106}">
      <text>
        <r>
          <rPr>
            <sz val="9"/>
            <color indexed="81"/>
            <rFont val="宋体"/>
            <charset val="134"/>
          </rPr>
          <t xml:space="preserve">
Break-even price of underlying
</t>
        </r>
      </text>
    </comment>
    <comment ref="O15" authorId="1" shapeId="0" xr:uid="{FEE8565A-D171-4508-AD40-C4ECFD3B5B18}">
      <text>
        <r>
          <rPr>
            <sz val="9"/>
            <color indexed="81"/>
            <rFont val="宋体"/>
            <charset val="134"/>
          </rPr>
          <t xml:space="preserve">
Estimated risk exposure
</t>
        </r>
      </text>
    </comment>
    <comment ref="L19" authorId="1" shapeId="0" xr:uid="{1F285133-F0F0-47D3-A281-81A800A9F660}">
      <text>
        <r>
          <rPr>
            <sz val="9"/>
            <color indexed="81"/>
            <rFont val="宋体"/>
            <charset val="134"/>
          </rPr>
          <t>Expected max profit/loss ratio, higher better</t>
        </r>
      </text>
    </comment>
    <comment ref="M19" authorId="1" shapeId="0" xr:uid="{E01F4654-984B-482A-BCDF-F97119D63DF4}">
      <text>
        <r>
          <rPr>
            <sz val="9"/>
            <color indexed="81"/>
            <rFont val="宋体"/>
            <charset val="134"/>
          </rPr>
          <t>Actual max profit/loss ratio, higher better</t>
        </r>
      </text>
    </comment>
    <comment ref="F22" authorId="1" shapeId="0" xr:uid="{C2C491F6-C88E-469F-AA32-8D55D2FF7596}">
      <text>
        <r>
          <rPr>
            <sz val="9"/>
            <color indexed="81"/>
            <rFont val="宋体"/>
            <charset val="134"/>
          </rPr>
          <t xml:space="preserve">
Break-even price of underlying
</t>
        </r>
      </text>
    </comment>
    <comment ref="L22" authorId="1" shapeId="0" xr:uid="{987D6FF3-AF25-45A9-858E-F03FEFF55EA0}">
      <text>
        <r>
          <rPr>
            <sz val="9"/>
            <color indexed="81"/>
            <rFont val="宋体"/>
            <charset val="134"/>
          </rPr>
          <t xml:space="preserve">
Expected market price per unit of the option strategy</t>
        </r>
      </text>
    </comment>
    <comment ref="M22" authorId="1" shapeId="0" xr:uid="{3F990DE2-4616-4C47-B8D7-285C935F92D8}">
      <text>
        <r>
          <rPr>
            <sz val="9"/>
            <color indexed="81"/>
            <rFont val="宋体"/>
            <charset val="134"/>
          </rPr>
          <t xml:space="preserve">
Actual cost per unit of the option strategy</t>
        </r>
      </text>
    </comment>
    <comment ref="O22" authorId="1" shapeId="0" xr:uid="{D40EA5AB-D988-4A70-9D95-6D0C3C7964AF}">
      <text>
        <r>
          <rPr>
            <sz val="9"/>
            <color indexed="81"/>
            <rFont val="宋体"/>
            <charset val="134"/>
          </rPr>
          <t xml:space="preserve">
Estimated risk exposure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Zhili Zhang</author>
    <author>Zhili</author>
  </authors>
  <commentList>
    <comment ref="R7" authorId="0" shapeId="0" xr:uid="{725D063C-BAFC-4D03-BCD7-2335BD5233A2}">
      <text>
        <r>
          <rPr>
            <sz val="9"/>
            <color indexed="81"/>
            <rFont val="宋体"/>
            <family val="3"/>
            <charset val="134"/>
          </rPr>
          <t xml:space="preserve">
Choose from below:
Last
Close</t>
        </r>
      </text>
    </comment>
    <comment ref="T7" authorId="0" shapeId="0" xr:uid="{7A9B0650-8C79-4FAF-9866-34AE9CFB69FF}">
      <text>
        <r>
          <rPr>
            <sz val="9"/>
            <color indexed="81"/>
            <rFont val="宋体"/>
            <family val="3"/>
            <charset val="134"/>
          </rPr>
          <t xml:space="preserve">
Choose from below:
OptionHistoricalVol
RTHistoricalVol</t>
        </r>
      </text>
    </comment>
    <comment ref="U7" authorId="0" shapeId="0" xr:uid="{8C99F5CC-D972-43D4-88CC-B46F612AE48D}">
      <text>
        <r>
          <rPr>
            <sz val="9"/>
            <color indexed="81"/>
            <rFont val="宋体"/>
            <family val="3"/>
            <charset val="134"/>
          </rPr>
          <t xml:space="preserve">
Choose from below:
LastImpliedVol
ModelImpliedVol</t>
        </r>
      </text>
    </comment>
    <comment ref="V8" authorId="0" shapeId="0" xr:uid="{F4F909B4-CE85-4002-84EC-9C0FDA8D2C5B}">
      <text>
        <r>
          <rPr>
            <sz val="9"/>
            <color indexed="81"/>
            <rFont val="宋体"/>
            <family val="3"/>
            <charset val="134"/>
          </rPr>
          <t xml:space="preserve">
This is a toggle. If Theta needs to be considered for the total risk of an option legs, enter 'ON' in this field; otherwise, leave it blank.
</t>
        </r>
      </text>
    </comment>
    <comment ref="F15" authorId="1" shapeId="0" xr:uid="{DBD170F9-A081-4FE0-957E-234EFC148C68}">
      <text>
        <r>
          <rPr>
            <sz val="9"/>
            <color indexed="81"/>
            <rFont val="宋体"/>
            <charset val="134"/>
          </rPr>
          <t xml:space="preserve">
Break-even price of underlying
</t>
        </r>
      </text>
    </comment>
    <comment ref="O15" authorId="1" shapeId="0" xr:uid="{41046DEA-AE68-4F4D-BEBB-A6A806BC8679}">
      <text>
        <r>
          <rPr>
            <sz val="9"/>
            <color indexed="81"/>
            <rFont val="宋体"/>
            <charset val="134"/>
          </rPr>
          <t xml:space="preserve">
Estimated risk exposure
</t>
        </r>
      </text>
    </comment>
    <comment ref="L19" authorId="1" shapeId="0" xr:uid="{CE4997BA-2077-4A41-BCD8-B78EE3A7D72A}">
      <text>
        <r>
          <rPr>
            <sz val="9"/>
            <color indexed="81"/>
            <rFont val="宋体"/>
            <charset val="134"/>
          </rPr>
          <t>Expected max profit/loss ratio, higher better</t>
        </r>
      </text>
    </comment>
    <comment ref="M19" authorId="1" shapeId="0" xr:uid="{7B694173-7609-40FF-9DC7-4F1EF57A9BB0}">
      <text>
        <r>
          <rPr>
            <sz val="9"/>
            <color indexed="81"/>
            <rFont val="宋体"/>
            <charset val="134"/>
          </rPr>
          <t>Actual max profit/loss ratio, higher better</t>
        </r>
      </text>
    </comment>
    <comment ref="F22" authorId="1" shapeId="0" xr:uid="{940589C6-1B73-4DAF-877E-784684337EFA}">
      <text>
        <r>
          <rPr>
            <sz val="9"/>
            <color indexed="81"/>
            <rFont val="宋体"/>
            <charset val="134"/>
          </rPr>
          <t xml:space="preserve">
Break-even price of underlying
</t>
        </r>
      </text>
    </comment>
    <comment ref="L22" authorId="1" shapeId="0" xr:uid="{EBDB923A-89FD-4713-BFF6-F90F192D2564}">
      <text>
        <r>
          <rPr>
            <sz val="9"/>
            <color indexed="81"/>
            <rFont val="宋体"/>
            <charset val="134"/>
          </rPr>
          <t xml:space="preserve">
Expected market price per unit of the option strategy</t>
        </r>
      </text>
    </comment>
    <comment ref="M22" authorId="1" shapeId="0" xr:uid="{ABA4DBC5-73E7-468A-B3FB-20D84BC9BBCF}">
      <text>
        <r>
          <rPr>
            <sz val="9"/>
            <color indexed="81"/>
            <rFont val="宋体"/>
            <charset val="134"/>
          </rPr>
          <t xml:space="preserve">
Actual cost per unit of the option strategy</t>
        </r>
      </text>
    </comment>
    <comment ref="O22" authorId="1" shapeId="0" xr:uid="{5687FEC4-D401-4904-9737-77B4832E99D6}">
      <text>
        <r>
          <rPr>
            <sz val="9"/>
            <color indexed="81"/>
            <rFont val="宋体"/>
            <charset val="134"/>
          </rPr>
          <t xml:space="preserve">
Estimated risk exposure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Zhili Zhang</author>
    <author>Zhili</author>
  </authors>
  <commentList>
    <comment ref="R7" authorId="0" shapeId="0" xr:uid="{DE7C3756-9A5D-436C-853A-DBF55A284D46}">
      <text>
        <r>
          <rPr>
            <sz val="9"/>
            <color indexed="81"/>
            <rFont val="宋体"/>
            <family val="3"/>
            <charset val="134"/>
          </rPr>
          <t xml:space="preserve">
Choose from below:
Last
Close</t>
        </r>
      </text>
    </comment>
    <comment ref="T7" authorId="0" shapeId="0" xr:uid="{6705B707-3A49-46AB-83D3-F6D3748906E1}">
      <text>
        <r>
          <rPr>
            <sz val="9"/>
            <color indexed="81"/>
            <rFont val="宋体"/>
            <family val="3"/>
            <charset val="134"/>
          </rPr>
          <t xml:space="preserve">
Choose from below:
OptionHistoricalVol
RTHistoricalVol</t>
        </r>
      </text>
    </comment>
    <comment ref="U7" authorId="0" shapeId="0" xr:uid="{56EB6C01-DCC4-4042-954D-6FA3777B02CF}">
      <text>
        <r>
          <rPr>
            <sz val="9"/>
            <color indexed="81"/>
            <rFont val="宋体"/>
            <family val="3"/>
            <charset val="134"/>
          </rPr>
          <t xml:space="preserve">
Choose from below:
LastImpliedVol
ModelImpliedVol</t>
        </r>
      </text>
    </comment>
    <comment ref="V8" authorId="0" shapeId="0" xr:uid="{A9D22BC3-EF82-4C96-8886-306EA5744BCF}">
      <text>
        <r>
          <rPr>
            <sz val="9"/>
            <color indexed="81"/>
            <rFont val="宋体"/>
            <family val="3"/>
            <charset val="134"/>
          </rPr>
          <t xml:space="preserve">
This is a toggle. If Theta needs to be considered for the total risk of an option legs, enter 'ON' in this field; otherwise, leave it blank.
</t>
        </r>
      </text>
    </comment>
    <comment ref="F16" authorId="1" shapeId="0" xr:uid="{8C813151-3F3E-4237-BCE3-61698EA04A42}">
      <text>
        <r>
          <rPr>
            <sz val="9"/>
            <color indexed="81"/>
            <rFont val="宋体"/>
            <charset val="134"/>
          </rPr>
          <t xml:space="preserve">
Higher break-even price of underlying
</t>
        </r>
      </text>
    </comment>
    <comment ref="L16" authorId="1" shapeId="0" xr:uid="{F945588F-225F-49B3-AFF1-D350B9DA0EC4}">
      <text>
        <r>
          <rPr>
            <sz val="9"/>
            <color indexed="81"/>
            <rFont val="宋体"/>
            <charset val="134"/>
          </rPr>
          <t xml:space="preserve">
Expected market price per unit of the option strategy</t>
        </r>
      </text>
    </comment>
    <comment ref="M16" authorId="1" shapeId="0" xr:uid="{EEB8FD99-6A36-4A47-AFA2-FE80EDC8477C}">
      <text>
        <r>
          <rPr>
            <sz val="9"/>
            <color indexed="81"/>
            <rFont val="宋体"/>
            <charset val="134"/>
          </rPr>
          <t xml:space="preserve">
Actual cost per unit of the option strategy</t>
        </r>
      </text>
    </comment>
    <comment ref="O16" authorId="1" shapeId="0" xr:uid="{5A576B03-15E4-4C83-98C1-D80D3ABC0002}">
      <text>
        <r>
          <rPr>
            <sz val="9"/>
            <color indexed="81"/>
            <rFont val="宋体"/>
            <charset val="134"/>
          </rPr>
          <t xml:space="preserve">
Estimated risk exposure
</t>
        </r>
      </text>
    </comment>
    <comment ref="F17" authorId="1" shapeId="0" xr:uid="{45DEFD68-E5FC-4616-BC6D-E46E65168531}">
      <text>
        <r>
          <rPr>
            <sz val="9"/>
            <color indexed="81"/>
            <rFont val="宋体"/>
            <charset val="134"/>
          </rPr>
          <t xml:space="preserve">
Lower break-even price of underlying</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Zhili Zhang</author>
    <author>Zhili</author>
  </authors>
  <commentList>
    <comment ref="R7" authorId="0" shapeId="0" xr:uid="{A4693D11-3D09-40CC-A47B-B6539966006D}">
      <text>
        <r>
          <rPr>
            <sz val="9"/>
            <color indexed="81"/>
            <rFont val="宋体"/>
            <family val="3"/>
            <charset val="134"/>
          </rPr>
          <t xml:space="preserve">
Choose from below:
Last
Close</t>
        </r>
      </text>
    </comment>
    <comment ref="T7" authorId="0" shapeId="0" xr:uid="{6BF67CE1-B2AC-48BE-9891-4787ABC7D742}">
      <text>
        <r>
          <rPr>
            <sz val="9"/>
            <color indexed="81"/>
            <rFont val="宋体"/>
            <family val="3"/>
            <charset val="134"/>
          </rPr>
          <t xml:space="preserve">
Choose from below:
OptionHistoricalVol
RTHistoricalVol</t>
        </r>
      </text>
    </comment>
    <comment ref="U7" authorId="0" shapeId="0" xr:uid="{F09B060A-2E87-4532-9DD9-185560BF0887}">
      <text>
        <r>
          <rPr>
            <sz val="9"/>
            <color indexed="81"/>
            <rFont val="宋体"/>
            <family val="3"/>
            <charset val="134"/>
          </rPr>
          <t xml:space="preserve">
Choose from below:
LastImpliedVol
ModelImpliedVol</t>
        </r>
      </text>
    </comment>
    <comment ref="V8" authorId="0" shapeId="0" xr:uid="{3CF0ED22-BC4B-45F6-80F5-71007D1608ED}">
      <text>
        <r>
          <rPr>
            <sz val="9"/>
            <color indexed="81"/>
            <rFont val="宋体"/>
            <family val="3"/>
            <charset val="134"/>
          </rPr>
          <t xml:space="preserve">
This is a toggle. If Theta needs to be considered for the total risk of an option legs, enter 'ON' in this field; otherwise, leave it blank.
</t>
        </r>
      </text>
    </comment>
    <comment ref="A13" authorId="1" shapeId="0" xr:uid="{B43F3D5D-9893-40B2-AEB7-DABA6BD0EE00}">
      <text>
        <r>
          <rPr>
            <sz val="9"/>
            <color indexed="81"/>
            <rFont val="宋体"/>
            <charset val="134"/>
          </rPr>
          <t xml:space="preserve">
Lower of underlying price range for trade</t>
        </r>
      </text>
    </comment>
    <comment ref="A14" authorId="1" shapeId="0" xr:uid="{5EAF55BB-BF20-405B-AA91-825AE4145FED}">
      <text>
        <r>
          <rPr>
            <sz val="9"/>
            <color indexed="81"/>
            <rFont val="宋体"/>
            <charset val="134"/>
          </rPr>
          <t xml:space="preserve">
Mid of underlying price range for trade
</t>
        </r>
      </text>
    </comment>
    <comment ref="A15" authorId="1" shapeId="0" xr:uid="{03E54540-439C-47A0-B1C4-ABE16774A0A4}">
      <text>
        <r>
          <rPr>
            <sz val="9"/>
            <color indexed="81"/>
            <rFont val="宋体"/>
            <charset val="134"/>
          </rPr>
          <t xml:space="preserve">
Upper of underlying price range for trade</t>
        </r>
      </text>
    </comment>
    <comment ref="E16" authorId="1" shapeId="0" xr:uid="{307B81FD-2106-4B4E-9D20-8D96AC3B535E}">
      <text>
        <r>
          <rPr>
            <sz val="9"/>
            <color indexed="81"/>
            <rFont val="宋体"/>
            <charset val="134"/>
          </rPr>
          <t xml:space="preserve">
(Lower Strike - Mid Strike) /
(Lower Est. - Mid Strike)</t>
        </r>
      </text>
    </comment>
    <comment ref="F16" authorId="1" shapeId="0" xr:uid="{A70EA3C2-A414-4A02-8EC4-0331F93E3339}">
      <text>
        <r>
          <rPr>
            <sz val="9"/>
            <color indexed="81"/>
            <rFont val="宋体"/>
            <charset val="134"/>
          </rPr>
          <t xml:space="preserve">
Estimate lower strike based on IV</t>
        </r>
      </text>
    </comment>
    <comment ref="G16" authorId="1" shapeId="0" xr:uid="{CA21D6F8-3B47-4593-AC52-9C76B69D9C28}">
      <text>
        <r>
          <rPr>
            <sz val="9"/>
            <color indexed="81"/>
            <rFont val="宋体"/>
            <charset val="134"/>
          </rPr>
          <t xml:space="preserve">
The profitable range of the selected lower strike, as a proportion of the IV-estimated profitable range. The larger, the better, &gt;50% at least.
</t>
        </r>
      </text>
    </comment>
    <comment ref="L16" authorId="1" shapeId="0" xr:uid="{748761CB-017B-4739-9C28-1C34430612F3}">
      <text>
        <r>
          <rPr>
            <sz val="9"/>
            <color indexed="81"/>
            <rFont val="宋体"/>
            <charset val="134"/>
          </rPr>
          <t>Expected max profit/loss ratio, &gt;1 at least</t>
        </r>
      </text>
    </comment>
    <comment ref="M16" authorId="1" shapeId="0" xr:uid="{69C4433E-6A4E-4143-A01E-695DF4C3C597}">
      <text>
        <r>
          <rPr>
            <sz val="9"/>
            <color indexed="81"/>
            <rFont val="宋体"/>
            <charset val="134"/>
          </rPr>
          <t>Actual max profit/loss ratio, &gt;1 at least</t>
        </r>
      </text>
    </comment>
    <comment ref="E20" authorId="1" shapeId="0" xr:uid="{40757966-D28F-4562-B692-66C537FBDCB4}">
      <text>
        <r>
          <rPr>
            <sz val="9"/>
            <color indexed="81"/>
            <rFont val="宋体"/>
            <charset val="134"/>
          </rPr>
          <t xml:space="preserve">
(Upper Strike - Mid Strike) /
(Upper Est. - Mid Strike)</t>
        </r>
      </text>
    </comment>
    <comment ref="F20" authorId="1" shapeId="0" xr:uid="{A5084759-79B1-486A-AA21-09241EE8CB1F}">
      <text>
        <r>
          <rPr>
            <sz val="9"/>
            <color indexed="81"/>
            <rFont val="宋体"/>
            <charset val="134"/>
          </rPr>
          <t xml:space="preserve">
Estimate upper strike based on IV</t>
        </r>
      </text>
    </comment>
    <comment ref="G20" authorId="1" shapeId="0" xr:uid="{56F0E739-FB9A-4929-8333-CD03C687CD89}">
      <text>
        <r>
          <rPr>
            <sz val="9"/>
            <color indexed="81"/>
            <rFont val="宋体"/>
            <charset val="134"/>
          </rPr>
          <t xml:space="preserve">
The profitable range of the selected upper strike, as a proportion of the IV-estimated profitable range. The larger, the better, &gt;50% at least.</t>
        </r>
      </text>
    </comment>
    <comment ref="L20" authorId="1" shapeId="0" xr:uid="{1939BC18-1B42-4793-811C-A8D6D586B569}">
      <text>
        <r>
          <rPr>
            <sz val="9"/>
            <color indexed="81"/>
            <rFont val="宋体"/>
            <charset val="134"/>
          </rPr>
          <t xml:space="preserve">
Expected market price per unit of the option strategy</t>
        </r>
      </text>
    </comment>
    <comment ref="M20" authorId="1" shapeId="0" xr:uid="{EFA4E72F-180B-423F-ADFE-5DAECEE461BA}">
      <text>
        <r>
          <rPr>
            <sz val="9"/>
            <color indexed="81"/>
            <rFont val="宋体"/>
            <charset val="134"/>
          </rPr>
          <t xml:space="preserve">
Actual cost per unit of the option strategy</t>
        </r>
      </text>
    </comment>
    <comment ref="O20" authorId="1" shapeId="0" xr:uid="{F9961F59-435C-413D-BC2E-2AE91D775133}">
      <text>
        <r>
          <rPr>
            <sz val="9"/>
            <color indexed="81"/>
            <rFont val="宋体"/>
            <charset val="134"/>
          </rPr>
          <t xml:space="preserve">
Expected total market value (risk exposure)</t>
        </r>
      </text>
    </comment>
    <comment ref="A21" authorId="1" shapeId="0" xr:uid="{EFBFEC38-4B6D-47DF-9815-03BCFE4FB3D7}">
      <text>
        <r>
          <rPr>
            <sz val="9"/>
            <color indexed="81"/>
            <rFont val="宋体"/>
            <charset val="134"/>
          </rPr>
          <t xml:space="preserve">
Lower of underlying price range for trade</t>
        </r>
      </text>
    </comment>
    <comment ref="A22" authorId="1" shapeId="0" xr:uid="{3227FFFD-F182-4D3E-B55F-9E9693A4B8AA}">
      <text>
        <r>
          <rPr>
            <sz val="9"/>
            <color indexed="81"/>
            <rFont val="宋体"/>
            <charset val="134"/>
          </rPr>
          <t xml:space="preserve">
Mid of underlying price range for trade
</t>
        </r>
      </text>
    </comment>
    <comment ref="A23" authorId="1" shapeId="0" xr:uid="{A040531C-5F82-4961-8055-6238F24D709D}">
      <text>
        <r>
          <rPr>
            <sz val="9"/>
            <color indexed="81"/>
            <rFont val="宋体"/>
            <charset val="134"/>
          </rPr>
          <t xml:space="preserve">
Upper of underlying price range for trade</t>
        </r>
      </text>
    </comment>
    <comment ref="E24" authorId="1" shapeId="0" xr:uid="{6906F0C3-796F-443B-B01C-11860E0C175D}">
      <text>
        <r>
          <rPr>
            <sz val="9"/>
            <color indexed="81"/>
            <rFont val="宋体"/>
            <charset val="134"/>
          </rPr>
          <t xml:space="preserve">
(Lower Strike - Mid Strike) /
(Lower Est. - Mid Strike)</t>
        </r>
      </text>
    </comment>
    <comment ref="F24" authorId="1" shapeId="0" xr:uid="{FD764530-ED63-480C-9D85-2CD137154B9A}">
      <text>
        <r>
          <rPr>
            <sz val="9"/>
            <color indexed="81"/>
            <rFont val="宋体"/>
            <charset val="134"/>
          </rPr>
          <t xml:space="preserve">
Estimate lower strike based on IV</t>
        </r>
      </text>
    </comment>
    <comment ref="G24" authorId="1" shapeId="0" xr:uid="{1B3F0B2C-468F-4ECA-B4A1-C9ABEC809F39}">
      <text>
        <r>
          <rPr>
            <sz val="9"/>
            <color indexed="81"/>
            <rFont val="宋体"/>
            <charset val="134"/>
          </rPr>
          <t xml:space="preserve">
The profitable range of the selected lower strike, as a proportion of the IV-estimated profitable range. The larger, the better, &gt;50% at least.</t>
        </r>
      </text>
    </comment>
    <comment ref="L24" authorId="1" shapeId="0" xr:uid="{7D5AEAB9-B372-41BE-8899-0901356B8E2D}">
      <text>
        <r>
          <rPr>
            <sz val="9"/>
            <color indexed="81"/>
            <rFont val="宋体"/>
            <charset val="134"/>
          </rPr>
          <t>Expected max profit/loss ratio, &gt;1 at least</t>
        </r>
      </text>
    </comment>
    <comment ref="M24" authorId="1" shapeId="0" xr:uid="{2ED239A6-AC91-4043-8715-E12E5E5BD9E8}">
      <text>
        <r>
          <rPr>
            <sz val="9"/>
            <color indexed="81"/>
            <rFont val="宋体"/>
            <charset val="134"/>
          </rPr>
          <t>Actual max profit/loss ratio, &gt;1 at least</t>
        </r>
      </text>
    </comment>
    <comment ref="E29" authorId="1" shapeId="0" xr:uid="{5714D01E-ACB9-4BDF-A3B4-31503C01C2D7}">
      <text>
        <r>
          <rPr>
            <sz val="9"/>
            <color indexed="81"/>
            <rFont val="宋体"/>
            <charset val="134"/>
          </rPr>
          <t xml:space="preserve">
(Upper Strike - Mid Strike) /
(Upper Est. - Mid Strike)</t>
        </r>
      </text>
    </comment>
    <comment ref="F29" authorId="1" shapeId="0" xr:uid="{821D33FA-C48C-4C23-B996-2F15A5DDD26E}">
      <text>
        <r>
          <rPr>
            <sz val="9"/>
            <color indexed="81"/>
            <rFont val="宋体"/>
            <charset val="134"/>
          </rPr>
          <t xml:space="preserve">
Estimate upper strike based on IV</t>
        </r>
      </text>
    </comment>
    <comment ref="G29" authorId="1" shapeId="0" xr:uid="{B526F5E6-E40D-4E66-8494-DD82706F617E}">
      <text>
        <r>
          <rPr>
            <sz val="9"/>
            <color indexed="81"/>
            <rFont val="宋体"/>
            <charset val="134"/>
          </rPr>
          <t xml:space="preserve">
The profitable range of the selected upper strike, as a proportion of the IV-estimated profitable range. The larger, the better, &gt;50% at least.</t>
        </r>
      </text>
    </comment>
    <comment ref="L29" authorId="1" shapeId="0" xr:uid="{2DFEB6C3-E088-4058-B53A-9D7329F2E3BD}">
      <text>
        <r>
          <rPr>
            <sz val="9"/>
            <color indexed="81"/>
            <rFont val="宋体"/>
            <charset val="134"/>
          </rPr>
          <t xml:space="preserve">
Expected market price per unit of the option strategy</t>
        </r>
      </text>
    </comment>
    <comment ref="M29" authorId="1" shapeId="0" xr:uid="{AB08898B-FABA-4078-B4DA-00B5C2F24F3B}">
      <text>
        <r>
          <rPr>
            <sz val="9"/>
            <color indexed="81"/>
            <rFont val="宋体"/>
            <charset val="134"/>
          </rPr>
          <t xml:space="preserve">
Actual cost per unit of the option strategy</t>
        </r>
      </text>
    </comment>
    <comment ref="O29" authorId="1" shapeId="0" xr:uid="{A0217E88-E540-4451-9D7B-036D2C713DCD}">
      <text>
        <r>
          <rPr>
            <sz val="9"/>
            <color indexed="81"/>
            <rFont val="宋体"/>
            <charset val="134"/>
          </rPr>
          <t xml:space="preserve">
Expected total cash outlay</t>
        </r>
      </text>
    </comment>
    <comment ref="L30" authorId="1" shapeId="0" xr:uid="{8534193F-E64A-493D-A988-3847DBA4B6B7}">
      <text>
        <r>
          <rPr>
            <sz val="9"/>
            <color indexed="81"/>
            <rFont val="宋体"/>
            <charset val="134"/>
          </rPr>
          <t xml:space="preserve">
Expected market price when converted to all-PUT strategy</t>
        </r>
      </text>
    </comment>
    <comment ref="M30" authorId="1" shapeId="0" xr:uid="{02357F89-D68B-4B82-8A6D-C38E9D7B4A6C}">
      <text>
        <r>
          <rPr>
            <sz val="9"/>
            <color indexed="81"/>
            <rFont val="宋体"/>
            <charset val="134"/>
          </rPr>
          <t xml:space="preserve">
Expected cost when converted to all-PUT strategy</t>
        </r>
      </text>
    </comment>
    <comment ref="O30" authorId="1" shapeId="0" xr:uid="{1CB4F31B-C03B-4785-ADE3-9EF289786505}">
      <text>
        <r>
          <rPr>
            <sz val="9"/>
            <color indexed="81"/>
            <rFont val="宋体"/>
            <charset val="134"/>
          </rPr>
          <t xml:space="preserve">
Expected total risk exposure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Zhili Zhang</author>
    <author>Zhili</author>
  </authors>
  <commentList>
    <comment ref="R7" authorId="0" shapeId="0" xr:uid="{3115983B-2B4D-4C97-B2D1-8BBAA152C892}">
      <text>
        <r>
          <rPr>
            <sz val="9"/>
            <color indexed="81"/>
            <rFont val="宋体"/>
            <family val="3"/>
            <charset val="134"/>
          </rPr>
          <t xml:space="preserve">
Choose from below:
Last
Close</t>
        </r>
      </text>
    </comment>
    <comment ref="T7" authorId="0" shapeId="0" xr:uid="{89200FE5-453B-4741-9DC3-308BE5902909}">
      <text>
        <r>
          <rPr>
            <sz val="9"/>
            <color indexed="81"/>
            <rFont val="宋体"/>
            <family val="3"/>
            <charset val="134"/>
          </rPr>
          <t xml:space="preserve">
Choose from below:
OptionHistoricalVol
RTHistoricalVol</t>
        </r>
      </text>
    </comment>
    <comment ref="U7" authorId="0" shapeId="0" xr:uid="{7708C44B-AC1D-4AA3-992B-610AD120D916}">
      <text>
        <r>
          <rPr>
            <sz val="9"/>
            <color indexed="81"/>
            <rFont val="宋体"/>
            <family val="3"/>
            <charset val="134"/>
          </rPr>
          <t xml:space="preserve">
Choose from below:
LastImpliedVol
ModelImpliedVol</t>
        </r>
      </text>
    </comment>
    <comment ref="V8" authorId="0" shapeId="0" xr:uid="{F8B8CB7A-ED59-433A-80FB-C3BE810C3572}">
      <text>
        <r>
          <rPr>
            <sz val="9"/>
            <color indexed="81"/>
            <rFont val="宋体"/>
            <family val="3"/>
            <charset val="134"/>
          </rPr>
          <t xml:space="preserve">
This is a toggle. If Theta needs to be considered for the total risk of an option legs, enter 'ON' in this field; otherwise, leave it blank.
</t>
        </r>
      </text>
    </comment>
    <comment ref="L13" authorId="1" shapeId="0" xr:uid="{5D15C96F-05EA-4A0E-B082-F732F4DE5B1A}">
      <text>
        <r>
          <rPr>
            <sz val="9"/>
            <color indexed="81"/>
            <rFont val="宋体"/>
            <charset val="134"/>
          </rPr>
          <t>Expected max profit/loss ratio, higher better</t>
        </r>
      </text>
    </comment>
    <comment ref="M13" authorId="1" shapeId="0" xr:uid="{533EEBAA-53DD-4F4D-AED4-97EB80934A62}">
      <text>
        <r>
          <rPr>
            <sz val="9"/>
            <color indexed="81"/>
            <rFont val="宋体"/>
            <charset val="134"/>
          </rPr>
          <t>Actual max profit/loss ratio, higher better</t>
        </r>
      </text>
    </comment>
    <comment ref="N14" authorId="1" shapeId="0" xr:uid="{36F55551-2EF6-4557-AA1A-48383E5F91E1}">
      <text>
        <r>
          <rPr>
            <sz val="9"/>
            <color indexed="81"/>
            <rFont val="宋体"/>
            <charset val="134"/>
          </rPr>
          <t xml:space="preserve">
Fill in a negative integer</t>
        </r>
      </text>
    </comment>
    <comment ref="F16" authorId="1" shapeId="0" xr:uid="{F0B4E79A-A7A5-43C0-A6F5-C8E581FB5256}">
      <text>
        <r>
          <rPr>
            <sz val="9"/>
            <color indexed="81"/>
            <rFont val="宋体"/>
            <charset val="134"/>
          </rPr>
          <t xml:space="preserve">
Break-even price of underlying
</t>
        </r>
      </text>
    </comment>
    <comment ref="L16" authorId="1" shapeId="0" xr:uid="{8C7E86A5-FBB0-4B6B-8C9E-8DD0EDFC64CE}">
      <text>
        <r>
          <rPr>
            <sz val="9"/>
            <color indexed="81"/>
            <rFont val="宋体"/>
            <charset val="134"/>
          </rPr>
          <t xml:space="preserve">
Expected cash to be received per unit of the option strategy</t>
        </r>
      </text>
    </comment>
    <comment ref="M16" authorId="1" shapeId="0" xr:uid="{CFFF37DF-9333-4E7C-AC45-9A9F34320068}">
      <text>
        <r>
          <rPr>
            <sz val="9"/>
            <color indexed="81"/>
            <rFont val="宋体"/>
            <charset val="134"/>
          </rPr>
          <t xml:space="preserve">
Actual cash to be received per unit of the option strategy</t>
        </r>
      </text>
    </comment>
    <comment ref="O16" authorId="1" shapeId="0" xr:uid="{5022FEFB-0E42-4322-B568-9A857E2E769F}">
      <text>
        <r>
          <rPr>
            <sz val="9"/>
            <color indexed="81"/>
            <rFont val="宋体"/>
            <charset val="134"/>
          </rPr>
          <t xml:space="preserve">
Estimated risk exposure
</t>
        </r>
      </text>
    </comment>
    <comment ref="L20" authorId="1" shapeId="0" xr:uid="{98EDF7CD-B776-4127-BD6D-BC855633FCC4}">
      <text>
        <r>
          <rPr>
            <sz val="9"/>
            <color indexed="81"/>
            <rFont val="宋体"/>
            <charset val="134"/>
          </rPr>
          <t>Expected max profit/loss ratio, higher better</t>
        </r>
      </text>
    </comment>
    <comment ref="M20" authorId="1" shapeId="0" xr:uid="{87F6E62B-C005-4D06-BC40-CE8DDD747A3C}">
      <text>
        <r>
          <rPr>
            <sz val="9"/>
            <color indexed="81"/>
            <rFont val="宋体"/>
            <charset val="134"/>
          </rPr>
          <t>Actual max profit/loss ratio, higher better</t>
        </r>
      </text>
    </comment>
    <comment ref="N21" authorId="1" shapeId="0" xr:uid="{880E025A-98F2-4B0A-9720-2CC00DBC3929}">
      <text>
        <r>
          <rPr>
            <sz val="9"/>
            <color indexed="81"/>
            <rFont val="宋体"/>
            <charset val="134"/>
          </rPr>
          <t xml:space="preserve">
Fill in a negative integer</t>
        </r>
      </text>
    </comment>
    <comment ref="F23" authorId="1" shapeId="0" xr:uid="{D13B17CC-474C-4E69-A70B-C9E78F23E800}">
      <text>
        <r>
          <rPr>
            <sz val="9"/>
            <color indexed="81"/>
            <rFont val="宋体"/>
            <charset val="134"/>
          </rPr>
          <t xml:space="preserve">
Break-even price of underlying
</t>
        </r>
      </text>
    </comment>
    <comment ref="L23" authorId="1" shapeId="0" xr:uid="{347845EA-64EA-4D9B-83B1-5A393DBF2A69}">
      <text>
        <r>
          <rPr>
            <sz val="9"/>
            <color indexed="81"/>
            <rFont val="宋体"/>
            <charset val="134"/>
          </rPr>
          <t xml:space="preserve">
Expected cash to be received per unit of the option strategy</t>
        </r>
      </text>
    </comment>
    <comment ref="M23" authorId="1" shapeId="0" xr:uid="{A118DEA6-FB58-4A79-AB0E-77805068864F}">
      <text>
        <r>
          <rPr>
            <sz val="9"/>
            <color indexed="81"/>
            <rFont val="宋体"/>
            <charset val="134"/>
          </rPr>
          <t xml:space="preserve">
Actual cash to be received per unit of the option strategy</t>
        </r>
      </text>
    </comment>
    <comment ref="O23" authorId="1" shapeId="0" xr:uid="{4D86DFAD-8A9F-4F7A-A340-F8A3C384F9C9}">
      <text>
        <r>
          <rPr>
            <sz val="9"/>
            <color indexed="81"/>
            <rFont val="宋体"/>
            <charset val="134"/>
          </rPr>
          <t xml:space="preserve">
Estimated risk exposure
</t>
        </r>
      </text>
    </comment>
  </commentList>
</comments>
</file>

<file path=xl/sharedStrings.xml><?xml version="1.0" encoding="utf-8"?>
<sst xmlns="http://schemas.openxmlformats.org/spreadsheetml/2006/main" count="366" uniqueCount="76">
  <si>
    <t>C</t>
  </si>
  <si>
    <t>Last</t>
  </si>
  <si>
    <t>P</t>
  </si>
  <si>
    <t>OPT</t>
  </si>
  <si>
    <t>100</t>
  </si>
  <si>
    <t>SMART</t>
  </si>
  <si>
    <t>USD</t>
  </si>
  <si>
    <t>STK</t>
    <phoneticPr fontId="11" type="noConversion"/>
  </si>
  <si>
    <r>
      <t>C</t>
    </r>
    <r>
      <rPr>
        <sz val="11"/>
        <color theme="1"/>
        <rFont val="Calibri"/>
        <family val="2"/>
        <scheme val="minor"/>
      </rPr>
      <t>ALL/PUT</t>
    </r>
  </si>
  <si>
    <r>
      <t>T</t>
    </r>
    <r>
      <rPr>
        <sz val="11"/>
        <color theme="1"/>
        <rFont val="Calibri"/>
        <family val="2"/>
        <scheme val="minor"/>
      </rPr>
      <t>heta</t>
    </r>
  </si>
  <si>
    <r>
      <t>V</t>
    </r>
    <r>
      <rPr>
        <sz val="11"/>
        <color theme="1"/>
        <rFont val="Calibri"/>
        <family val="2"/>
        <scheme val="minor"/>
      </rPr>
      <t>ega</t>
    </r>
  </si>
  <si>
    <t>tws.twsrtdserverctrl</t>
    <phoneticPr fontId="11" type="noConversion"/>
  </si>
  <si>
    <t>Option Position</t>
  </si>
  <si>
    <t>Hedging Tool</t>
  </si>
  <si>
    <t>Risk Exposure</t>
  </si>
  <si>
    <t>Symbol</t>
  </si>
  <si>
    <t>Type</t>
  </si>
  <si>
    <t>Expiration</t>
  </si>
  <si>
    <t>Strike</t>
  </si>
  <si>
    <t>Units/Lot</t>
  </si>
  <si>
    <t>Exchange</t>
  </si>
  <si>
    <t>Currency</t>
  </si>
  <si>
    <t>Price</t>
  </si>
  <si>
    <t>Cost</t>
  </si>
  <si>
    <t>Lot</t>
  </si>
  <si>
    <t>Value</t>
  </si>
  <si>
    <t>P/L</t>
  </si>
  <si>
    <t>Underlying
Price</t>
  </si>
  <si>
    <t>Volatility</t>
  </si>
  <si>
    <t>Days to
Expiration</t>
  </si>
  <si>
    <t>30-day HV</t>
  </si>
  <si>
    <t>IV</t>
  </si>
  <si>
    <t>Total Risk Exposure of Option Leg</t>
  </si>
  <si>
    <t>Ask</t>
  </si>
  <si>
    <t>tws.twsrtdserverctrl</t>
    <phoneticPr fontId="18" type="noConversion"/>
  </si>
  <si>
    <t>IB Ticker</t>
    <phoneticPr fontId="18" type="noConversion"/>
  </si>
  <si>
    <t>Delta</t>
    <phoneticPr fontId="23" type="noConversion"/>
  </si>
  <si>
    <t>Bid</t>
    <phoneticPr fontId="18" type="noConversion"/>
  </si>
  <si>
    <t>ModelDelta</t>
    <phoneticPr fontId="18" type="noConversion"/>
  </si>
  <si>
    <t>ModelVega</t>
    <phoneticPr fontId="18" type="noConversion"/>
  </si>
  <si>
    <t>OptionHistoricalVol</t>
    <phoneticPr fontId="18" type="noConversion"/>
  </si>
  <si>
    <t>ModelImpliedVol</t>
    <phoneticPr fontId="18" type="noConversion"/>
  </si>
  <si>
    <t>ModelTheta</t>
    <phoneticPr fontId="18" type="noConversion"/>
  </si>
  <si>
    <t>STK</t>
    <phoneticPr fontId="18" type="noConversion"/>
  </si>
  <si>
    <t>STK</t>
  </si>
  <si>
    <t>Long Strategy</t>
  </si>
  <si>
    <t>Buy Call</t>
  </si>
  <si>
    <t>Buy Call Spread</t>
  </si>
  <si>
    <t>Short Strategy</t>
  </si>
  <si>
    <t>Buy Put</t>
  </si>
  <si>
    <t>Buy Put Spread</t>
  </si>
  <si>
    <t>Cash Flow Strategy</t>
  </si>
  <si>
    <t>Sell Call Spread</t>
  </si>
  <si>
    <t>Sell Put Spread</t>
  </si>
  <si>
    <t>Dual Strategy</t>
  </si>
  <si>
    <t>IB Ticker</t>
    <phoneticPr fontId="16" type="noConversion"/>
  </si>
  <si>
    <t>Delta</t>
    <phoneticPr fontId="19" type="noConversion"/>
  </si>
  <si>
    <t>Bid</t>
    <phoneticPr fontId="16" type="noConversion"/>
  </si>
  <si>
    <t>ModelDelta</t>
    <phoneticPr fontId="16" type="noConversion"/>
  </si>
  <si>
    <t>ModelVega</t>
    <phoneticPr fontId="16" type="noConversion"/>
  </si>
  <si>
    <t>OptionHistoricalVol</t>
    <phoneticPr fontId="16" type="noConversion"/>
  </si>
  <si>
    <t>ModelImpliedVol</t>
    <phoneticPr fontId="16" type="noConversion"/>
  </si>
  <si>
    <t>ModelTheta</t>
    <phoneticPr fontId="16" type="noConversion"/>
  </si>
  <si>
    <t>TLT</t>
  </si>
  <si>
    <t>Neutral Strategy</t>
  </si>
  <si>
    <t>Buy Butterfly</t>
  </si>
  <si>
    <t>82</t>
  </si>
  <si>
    <t>Buy Straddle</t>
  </si>
  <si>
    <r>
      <rPr>
        <sz val="12"/>
        <rFont val="Aptos"/>
        <family val="2"/>
      </rPr>
      <t xml:space="preserve">
Disclaimer
Giga Certainty is not a financial advisor.
All information provided is for educational purposes only, and does not constitute financial advice.
Past performance is not necessarily indicative of future results.
We do not offer technical support.
While we routinely maintain our website, videos, and member tools to ensure proper functionality,
any issues related to third-party platforms or software—including Interactive Brokers, YouTube, Microsoft Excel, Adobe PDF, and others
—should be directed to the respective service providers.
</t>
    </r>
    <r>
      <rPr>
        <b/>
        <sz val="12"/>
        <rFont val="Aptos"/>
        <family val="2"/>
      </rPr>
      <t>Giga Certainty. All rights reserved.</t>
    </r>
  </si>
  <si>
    <t>20250801</t>
  </si>
  <si>
    <t>86</t>
  </si>
  <si>
    <t>86.5</t>
  </si>
  <si>
    <t>90</t>
  </si>
  <si>
    <t>83</t>
  </si>
  <si>
    <t>85.5</t>
  </si>
  <si>
    <t>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</si>
</sst>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0_ "/>
    <numFmt numFmtId="166" formatCode="0.0000"/>
    <numFmt numFmtId="167" formatCode="[$-409]mmmm\ d\,\ yyyy;@"/>
    <numFmt numFmtId="168" formatCode="yyyy/m/d\ h:mm;@"/>
  </numFmts>
  <fonts count="38">
    <font>
      <sz val="12"/>
      <name val="宋体"/>
      <charset val="13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宋体"/>
      <family val="3"/>
      <charset val="134"/>
    </font>
    <font>
      <sz val="11"/>
      <color theme="1"/>
      <name val="Calibri"/>
      <family val="2"/>
      <charset val="134"/>
      <scheme val="minor"/>
    </font>
    <font>
      <sz val="11"/>
      <color theme="1"/>
      <name val="Calibri"/>
      <family val="3"/>
      <charset val="134"/>
      <scheme val="minor"/>
    </font>
    <font>
      <sz val="10"/>
      <name val="Arial"/>
      <family val="2"/>
    </font>
    <font>
      <sz val="10"/>
      <color theme="1"/>
      <name val="Calibri"/>
      <family val="3"/>
      <charset val="134"/>
      <scheme val="minor"/>
    </font>
    <font>
      <sz val="8"/>
      <color theme="1"/>
      <name val="Calibri"/>
      <family val="3"/>
      <charset val="134"/>
      <scheme val="minor"/>
    </font>
    <font>
      <sz val="9"/>
      <color theme="1"/>
      <name val="Calibri"/>
      <family val="2"/>
      <scheme val="minor"/>
    </font>
    <font>
      <b/>
      <sz val="11"/>
      <color theme="1"/>
      <name val="Calibri"/>
      <family val="3"/>
      <charset val="134"/>
      <scheme val="minor"/>
    </font>
    <font>
      <b/>
      <sz val="9"/>
      <color indexed="81"/>
      <name val="宋体"/>
      <family val="3"/>
      <charset val="134"/>
    </font>
    <font>
      <sz val="9"/>
      <color indexed="81"/>
      <name val="宋体"/>
      <family val="3"/>
      <charset val="134"/>
    </font>
    <font>
      <sz val="11"/>
      <name val="Calibri"/>
      <family val="3"/>
      <charset val="134"/>
      <scheme val="minor"/>
    </font>
    <font>
      <sz val="10"/>
      <name val="Calibri"/>
      <family val="3"/>
      <charset val="134"/>
      <scheme val="minor"/>
    </font>
    <font>
      <sz val="8"/>
      <name val="Calibri"/>
      <family val="3"/>
      <charset val="134"/>
      <scheme val="minor"/>
    </font>
    <font>
      <sz val="11"/>
      <color theme="1" tint="0.499984740745262"/>
      <name val="Calibri"/>
      <family val="2"/>
      <scheme val="minor"/>
    </font>
    <font>
      <sz val="10"/>
      <color theme="1" tint="0.499984740745262"/>
      <name val="Calibri"/>
      <family val="2"/>
      <scheme val="minor"/>
    </font>
    <font>
      <sz val="8"/>
      <color theme="1" tint="0.499984740745262"/>
      <name val="Calibri"/>
      <family val="2"/>
      <scheme val="minor"/>
    </font>
    <font>
      <sz val="11"/>
      <name val="Calibri"/>
      <family val="2"/>
      <scheme val="minor"/>
    </font>
    <font>
      <sz val="10"/>
      <name val="Calibri"/>
      <family val="2"/>
      <scheme val="minor"/>
    </font>
    <font>
      <sz val="8"/>
      <name val="Calibri"/>
      <family val="2"/>
      <scheme val="minor"/>
    </font>
    <font>
      <sz val="9"/>
      <color indexed="81"/>
      <name val="宋体"/>
      <charset val="134"/>
    </font>
    <font>
      <b/>
      <sz val="11"/>
      <name val="Calibri"/>
      <family val="2"/>
      <scheme val="minor"/>
    </font>
    <font>
      <b/>
      <sz val="10"/>
      <name val="Calibri"/>
      <family val="2"/>
      <scheme val="minor"/>
    </font>
    <font>
      <b/>
      <sz val="8"/>
      <name val="Calibri"/>
      <family val="2"/>
      <scheme val="minor"/>
    </font>
    <font>
      <sz val="9"/>
      <color theme="1" tint="0.499984740745262"/>
      <name val="Calibri"/>
      <family val="2"/>
      <scheme val="minor"/>
    </font>
    <font>
      <sz val="12"/>
      <name val="宋体"/>
      <charset val="134"/>
    </font>
    <font>
      <sz val="12"/>
      <name val="Aptos"/>
      <family val="2"/>
    </font>
    <font>
      <b/>
      <sz val="12"/>
      <name val="Aptos"/>
      <family val="2"/>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4">
    <border>
      <left/>
      <right/>
      <top/>
      <bottom/>
      <diagonal/>
    </border>
    <border>
      <left/>
      <right/>
      <top/>
      <bottom style="thin">
        <color indexed="64"/>
      </bottom>
      <diagonal/>
    </border>
    <border>
      <left/>
      <right/>
      <top style="thin">
        <color indexed="64"/>
      </top>
      <bottom/>
      <diagonal/>
    </border>
    <border>
      <left/>
      <right/>
      <top/>
      <bottom style="dashDot">
        <color theme="1" tint="0.499984740745262"/>
      </bottom>
      <diagonal/>
    </border>
  </borders>
  <cellStyleXfs count="21">
    <xf numFmtId="0" fontId="0" fillId="0" borderId="0">
      <alignment vertical="center"/>
    </xf>
    <xf numFmtId="0" fontId="11" fillId="0" borderId="0">
      <alignment vertical="center"/>
    </xf>
    <xf numFmtId="0" fontId="13" fillId="0" borderId="0">
      <alignment vertical="center"/>
    </xf>
    <xf numFmtId="9" fontId="13" fillId="0" borderId="0" applyFont="0" applyFill="0" applyBorder="0" applyAlignment="0" applyProtection="0">
      <alignment vertical="center"/>
    </xf>
    <xf numFmtId="0" fontId="12" fillId="0" borderId="0">
      <alignment vertical="center"/>
    </xf>
    <xf numFmtId="9" fontId="12" fillId="0" borderId="0" applyFont="0" applyFill="0" applyBorder="0" applyAlignment="0" applyProtection="0">
      <alignment vertical="center"/>
    </xf>
    <xf numFmtId="0" fontId="10" fillId="0" borderId="0"/>
    <xf numFmtId="0" fontId="14" fillId="0" borderId="0"/>
    <xf numFmtId="0" fontId="9" fillId="0" borderId="0"/>
    <xf numFmtId="9" fontId="9" fillId="0" borderId="0" applyFont="0" applyFill="0" applyBorder="0" applyAlignment="0" applyProtection="0"/>
    <xf numFmtId="0" fontId="8" fillId="0" borderId="0"/>
    <xf numFmtId="164" fontId="11" fillId="0" borderId="0" applyFont="0" applyFill="0" applyBorder="0" applyAlignment="0" applyProtection="0">
      <alignment vertical="center"/>
    </xf>
    <xf numFmtId="0" fontId="7" fillId="0" borderId="0"/>
    <xf numFmtId="0" fontId="6" fillId="0" borderId="0"/>
    <xf numFmtId="164" fontId="11" fillId="0" borderId="0" applyFont="0" applyFill="0" applyBorder="0" applyAlignment="0" applyProtection="0">
      <alignment vertical="center"/>
    </xf>
    <xf numFmtId="0" fontId="5" fillId="0" borderId="0"/>
    <xf numFmtId="0" fontId="5" fillId="0" borderId="0"/>
    <xf numFmtId="0" fontId="4" fillId="0" borderId="0"/>
    <xf numFmtId="0" fontId="4" fillId="0" borderId="0"/>
    <xf numFmtId="9" fontId="35" fillId="0" borderId="0" applyFont="0" applyFill="0" applyBorder="0" applyAlignment="0" applyProtection="0"/>
    <xf numFmtId="0" fontId="3" fillId="0" borderId="0"/>
  </cellStyleXfs>
  <cellXfs count="299">
    <xf numFmtId="0" fontId="0" fillId="0" borderId="0" xfId="0">
      <alignment vertical="center"/>
    </xf>
    <xf numFmtId="164" fontId="13" fillId="3" borderId="0" xfId="14" applyFont="1" applyFill="1" applyAlignment="1" applyProtection="1">
      <alignment horizontal="right"/>
    </xf>
    <xf numFmtId="164" fontId="21" fillId="3" borderId="0" xfId="11" applyFont="1" applyFill="1" applyAlignment="1" applyProtection="1"/>
    <xf numFmtId="164" fontId="27" fillId="3" borderId="0" xfId="14" applyFont="1" applyFill="1" applyAlignment="1" applyProtection="1">
      <alignment horizontal="right"/>
    </xf>
    <xf numFmtId="164" fontId="27" fillId="3" borderId="0" xfId="11" applyFont="1" applyFill="1" applyAlignment="1" applyProtection="1"/>
    <xf numFmtId="164" fontId="24" fillId="3" borderId="0" xfId="11" applyFont="1" applyFill="1" applyAlignment="1" applyProtection="1"/>
    <xf numFmtId="164" fontId="4" fillId="3" borderId="0" xfId="11" applyFont="1" applyFill="1" applyAlignment="1" applyProtection="1"/>
    <xf numFmtId="167" fontId="28" fillId="2" borderId="0" xfId="17" applyNumberFormat="1" applyFont="1" applyFill="1" applyAlignment="1" applyProtection="1">
      <alignment horizontal="right"/>
      <protection locked="0"/>
    </xf>
    <xf numFmtId="49" fontId="28" fillId="2" borderId="0" xfId="17" applyNumberFormat="1" applyFont="1" applyFill="1" applyAlignment="1" applyProtection="1">
      <alignment horizontal="center"/>
      <protection locked="0"/>
    </xf>
    <xf numFmtId="49" fontId="27" fillId="2" borderId="0" xfId="17" applyNumberFormat="1" applyFont="1" applyFill="1" applyAlignment="1" applyProtection="1">
      <alignment horizontal="center"/>
      <protection locked="0"/>
    </xf>
    <xf numFmtId="2" fontId="27" fillId="2" borderId="2" xfId="17" applyNumberFormat="1" applyFont="1" applyFill="1" applyBorder="1" applyAlignment="1" applyProtection="1">
      <alignment horizontal="right"/>
      <protection locked="0"/>
    </xf>
    <xf numFmtId="0" fontId="27" fillId="2" borderId="0" xfId="17" applyFont="1" applyFill="1" applyAlignment="1" applyProtection="1">
      <alignment horizontal="right"/>
      <protection locked="0"/>
    </xf>
    <xf numFmtId="166" fontId="34" fillId="2" borderId="0" xfId="18" applyNumberFormat="1" applyFont="1" applyFill="1" applyProtection="1">
      <protection locked="0"/>
    </xf>
    <xf numFmtId="167" fontId="28" fillId="2" borderId="0" xfId="18" applyNumberFormat="1" applyFont="1" applyFill="1" applyAlignment="1" applyProtection="1">
      <alignment horizontal="right"/>
      <protection locked="0"/>
    </xf>
    <xf numFmtId="49" fontId="28" fillId="2" borderId="0" xfId="18" applyNumberFormat="1" applyFont="1" applyFill="1" applyAlignment="1" applyProtection="1">
      <alignment horizontal="center"/>
      <protection locked="0"/>
    </xf>
    <xf numFmtId="49" fontId="27" fillId="2" borderId="0" xfId="18" applyNumberFormat="1" applyFont="1" applyFill="1" applyAlignment="1" applyProtection="1">
      <alignment horizontal="center"/>
      <protection locked="0"/>
    </xf>
    <xf numFmtId="2" fontId="27" fillId="2" borderId="2" xfId="18" applyNumberFormat="1" applyFont="1" applyFill="1" applyBorder="1" applyAlignment="1" applyProtection="1">
      <alignment horizontal="right"/>
      <protection locked="0"/>
    </xf>
    <xf numFmtId="0" fontId="27" fillId="2" borderId="0" xfId="18" applyFont="1" applyFill="1" applyAlignment="1" applyProtection="1">
      <alignment horizontal="right"/>
      <protection locked="0"/>
    </xf>
    <xf numFmtId="0" fontId="27" fillId="2" borderId="0" xfId="20" applyFont="1" applyFill="1" applyProtection="1">
      <protection locked="0"/>
    </xf>
    <xf numFmtId="0" fontId="31" fillId="2" borderId="1" xfId="20" applyFont="1" applyFill="1" applyBorder="1" applyAlignment="1" applyProtection="1">
      <alignment horizontal="center"/>
      <protection locked="0"/>
    </xf>
    <xf numFmtId="49" fontId="27" fillId="2" borderId="0" xfId="20" applyNumberFormat="1" applyFont="1" applyFill="1" applyAlignment="1" applyProtection="1">
      <alignment horizontal="center"/>
      <protection locked="0"/>
    </xf>
    <xf numFmtId="167" fontId="28" fillId="2" borderId="0" xfId="20" applyNumberFormat="1" applyFont="1" applyFill="1" applyAlignment="1" applyProtection="1">
      <alignment horizontal="right"/>
      <protection locked="0"/>
    </xf>
    <xf numFmtId="49" fontId="28" fillId="2" borderId="0" xfId="20" applyNumberFormat="1" applyFont="1" applyFill="1" applyAlignment="1" applyProtection="1">
      <alignment horizontal="center"/>
      <protection locked="0"/>
    </xf>
    <xf numFmtId="0" fontId="27" fillId="2" borderId="0" xfId="20" applyFont="1" applyFill="1" applyAlignment="1" applyProtection="1">
      <alignment horizontal="right"/>
      <protection locked="0"/>
    </xf>
    <xf numFmtId="166" fontId="34" fillId="2" borderId="0" xfId="20" applyNumberFormat="1" applyFont="1" applyFill="1" applyProtection="1">
      <protection locked="0"/>
    </xf>
    <xf numFmtId="0" fontId="24" fillId="3" borderId="0" xfId="17" applyFont="1" applyFill="1"/>
    <xf numFmtId="0" fontId="24" fillId="3" borderId="0" xfId="17" applyFont="1" applyFill="1" applyAlignment="1">
      <alignment horizontal="center"/>
    </xf>
    <xf numFmtId="167" fontId="25" fillId="3" borderId="0" xfId="17" applyNumberFormat="1" applyFont="1" applyFill="1" applyAlignment="1">
      <alignment horizontal="right"/>
    </xf>
    <xf numFmtId="49" fontId="25" fillId="3" borderId="0" xfId="17" applyNumberFormat="1" applyFont="1" applyFill="1" applyAlignment="1">
      <alignment horizontal="center"/>
    </xf>
    <xf numFmtId="0" fontId="34" fillId="3" borderId="0" xfId="17" applyFont="1" applyFill="1" applyAlignment="1">
      <alignment horizontal="center"/>
    </xf>
    <xf numFmtId="49" fontId="24" fillId="3" borderId="0" xfId="17" applyNumberFormat="1" applyFont="1" applyFill="1" applyAlignment="1">
      <alignment horizontal="center"/>
    </xf>
    <xf numFmtId="0" fontId="26" fillId="3" borderId="0" xfId="17" applyFont="1" applyFill="1" applyAlignment="1">
      <alignment horizontal="right"/>
    </xf>
    <xf numFmtId="0" fontId="24" fillId="3" borderId="0" xfId="17" applyFont="1" applyFill="1" applyAlignment="1">
      <alignment horizontal="right"/>
    </xf>
    <xf numFmtId="0" fontId="34" fillId="3" borderId="0" xfId="17" applyFont="1" applyFill="1" applyAlignment="1">
      <alignment horizontal="right"/>
    </xf>
    <xf numFmtId="165" fontId="24" fillId="3" borderId="0" xfId="17" applyNumberFormat="1" applyFont="1" applyFill="1" applyAlignment="1">
      <alignment horizontal="right"/>
    </xf>
    <xf numFmtId="2" fontId="24" fillId="3" borderId="0" xfId="17" applyNumberFormat="1" applyFont="1" applyFill="1" applyAlignment="1">
      <alignment horizontal="right"/>
    </xf>
    <xf numFmtId="166" fontId="24" fillId="3" borderId="0" xfId="17" applyNumberFormat="1" applyFont="1" applyFill="1" applyAlignment="1">
      <alignment horizontal="right"/>
    </xf>
    <xf numFmtId="1" fontId="24" fillId="3" borderId="0" xfId="17" applyNumberFormat="1" applyFont="1" applyFill="1" applyAlignment="1">
      <alignment horizontal="right"/>
    </xf>
    <xf numFmtId="0" fontId="4" fillId="3" borderId="0" xfId="17" applyFill="1"/>
    <xf numFmtId="0" fontId="4" fillId="3" borderId="0" xfId="17" applyFill="1" applyAlignment="1">
      <alignment horizontal="center"/>
    </xf>
    <xf numFmtId="167" fontId="15" fillId="3" borderId="0" xfId="17" applyNumberFormat="1" applyFont="1" applyFill="1" applyAlignment="1">
      <alignment horizontal="right"/>
    </xf>
    <xf numFmtId="0" fontId="16" fillId="3" borderId="0" xfId="17" applyFont="1" applyFill="1" applyAlignment="1">
      <alignment horizontal="right"/>
    </xf>
    <xf numFmtId="0" fontId="4" fillId="3" borderId="0" xfId="17" applyFill="1" applyAlignment="1">
      <alignment horizontal="right"/>
    </xf>
    <xf numFmtId="165" fontId="4" fillId="3" borderId="0" xfId="17" applyNumberFormat="1" applyFill="1" applyAlignment="1">
      <alignment horizontal="right"/>
    </xf>
    <xf numFmtId="0" fontId="4" fillId="3" borderId="0" xfId="17" quotePrefix="1" applyFill="1"/>
    <xf numFmtId="0" fontId="4" fillId="3" borderId="0" xfId="17" applyFill="1" applyAlignment="1">
      <alignment vertical="center"/>
    </xf>
    <xf numFmtId="168" fontId="4" fillId="3" borderId="2" xfId="17" applyNumberFormat="1" applyFill="1" applyBorder="1" applyAlignment="1">
      <alignment horizontal="left" vertical="center"/>
    </xf>
    <xf numFmtId="168" fontId="4" fillId="3" borderId="0" xfId="17" applyNumberFormat="1" applyFill="1" applyAlignment="1">
      <alignment vertical="center"/>
    </xf>
    <xf numFmtId="0" fontId="4" fillId="3" borderId="0" xfId="17" applyFill="1" applyAlignment="1">
      <alignment horizontal="center" vertical="center"/>
    </xf>
    <xf numFmtId="167" fontId="15" fillId="3" borderId="0" xfId="17" applyNumberFormat="1" applyFont="1" applyFill="1" applyAlignment="1">
      <alignment horizontal="right" vertical="center"/>
    </xf>
    <xf numFmtId="0" fontId="16" fillId="3" borderId="0" xfId="17" applyFont="1" applyFill="1" applyAlignment="1">
      <alignment horizontal="right" vertical="center"/>
    </xf>
    <xf numFmtId="0" fontId="4" fillId="3" borderId="0" xfId="17" applyFill="1" applyAlignment="1">
      <alignment horizontal="right" vertical="center"/>
    </xf>
    <xf numFmtId="0" fontId="34" fillId="3" borderId="0" xfId="17" applyFont="1" applyFill="1" applyAlignment="1">
      <alignment horizontal="center" vertical="center"/>
    </xf>
    <xf numFmtId="0" fontId="24" fillId="3" borderId="0" xfId="17" applyFont="1" applyFill="1" applyAlignment="1">
      <alignment horizontal="center" vertical="center"/>
    </xf>
    <xf numFmtId="167" fontId="25" fillId="3" borderId="0" xfId="17" applyNumberFormat="1" applyFont="1" applyFill="1" applyAlignment="1">
      <alignment horizontal="right" vertical="center"/>
    </xf>
    <xf numFmtId="0" fontId="26" fillId="3" borderId="0" xfId="17" applyFont="1" applyFill="1" applyAlignment="1">
      <alignment horizontal="right" vertical="center"/>
    </xf>
    <xf numFmtId="0" fontId="34" fillId="3" borderId="0" xfId="17" applyFont="1" applyFill="1" applyAlignment="1">
      <alignment horizontal="right" vertical="center"/>
    </xf>
    <xf numFmtId="165" fontId="34" fillId="3" borderId="0" xfId="17" applyNumberFormat="1" applyFont="1" applyFill="1" applyAlignment="1">
      <alignment horizontal="right" vertical="center"/>
    </xf>
    <xf numFmtId="0" fontId="24" fillId="3" borderId="0" xfId="17" applyFont="1" applyFill="1" applyAlignment="1">
      <alignment horizontal="right" vertical="center"/>
    </xf>
    <xf numFmtId="165" fontId="24" fillId="3" borderId="0" xfId="17" applyNumberFormat="1" applyFont="1" applyFill="1" applyAlignment="1">
      <alignment horizontal="right" vertical="center"/>
    </xf>
    <xf numFmtId="0" fontId="17" fillId="3" borderId="0" xfId="17" applyFont="1" applyFill="1" applyAlignment="1">
      <alignment horizontal="right" vertical="center"/>
    </xf>
    <xf numFmtId="165" fontId="4" fillId="3" borderId="0" xfId="17" applyNumberFormat="1" applyFill="1" applyAlignment="1">
      <alignment horizontal="right" vertical="center"/>
    </xf>
    <xf numFmtId="49" fontId="15" fillId="3" borderId="0" xfId="17" applyNumberFormat="1" applyFont="1" applyFill="1" applyAlignment="1">
      <alignment horizontal="center"/>
    </xf>
    <xf numFmtId="49" fontId="4" fillId="3" borderId="0" xfId="17" applyNumberFormat="1" applyFill="1" applyAlignment="1">
      <alignment horizontal="center"/>
    </xf>
    <xf numFmtId="1" fontId="16" fillId="3" borderId="0" xfId="17" applyNumberFormat="1" applyFont="1" applyFill="1" applyAlignment="1">
      <alignment horizontal="right"/>
    </xf>
    <xf numFmtId="2" fontId="4" fillId="3" borderId="0" xfId="17" applyNumberFormat="1" applyFill="1" applyAlignment="1">
      <alignment horizontal="right"/>
    </xf>
    <xf numFmtId="166" fontId="4" fillId="3" borderId="0" xfId="17" applyNumberFormat="1" applyFill="1" applyAlignment="1">
      <alignment horizontal="right"/>
    </xf>
    <xf numFmtId="1" fontId="4" fillId="3" borderId="0" xfId="17" applyNumberFormat="1" applyFill="1" applyAlignment="1">
      <alignment horizontal="right"/>
    </xf>
    <xf numFmtId="164" fontId="4" fillId="3" borderId="0" xfId="17" applyNumberFormat="1" applyFill="1"/>
    <xf numFmtId="0" fontId="21" fillId="3" borderId="0" xfId="17" applyFont="1" applyFill="1" applyAlignment="1">
      <alignment horizontal="center"/>
    </xf>
    <xf numFmtId="167" fontId="22" fillId="3" borderId="0" xfId="17" applyNumberFormat="1" applyFont="1" applyFill="1" applyAlignment="1">
      <alignment horizontal="right"/>
    </xf>
    <xf numFmtId="49" fontId="22" fillId="3" borderId="0" xfId="17" applyNumberFormat="1" applyFont="1" applyFill="1" applyAlignment="1">
      <alignment horizontal="center"/>
    </xf>
    <xf numFmtId="49" fontId="21" fillId="3" borderId="0" xfId="17" applyNumberFormat="1" applyFont="1" applyFill="1" applyAlignment="1">
      <alignment horizontal="center"/>
    </xf>
    <xf numFmtId="0" fontId="23" fillId="3" borderId="0" xfId="17" applyFont="1" applyFill="1" applyAlignment="1">
      <alignment horizontal="right"/>
    </xf>
    <xf numFmtId="0" fontId="21" fillId="3" borderId="0" xfId="17" applyFont="1" applyFill="1" applyAlignment="1">
      <alignment horizontal="right"/>
    </xf>
    <xf numFmtId="165" fontId="21" fillId="3" borderId="0" xfId="17" applyNumberFormat="1" applyFont="1" applyFill="1" applyAlignment="1">
      <alignment horizontal="right"/>
    </xf>
    <xf numFmtId="2" fontId="21" fillId="3" borderId="0" xfId="17" applyNumberFormat="1" applyFont="1" applyFill="1" applyAlignment="1">
      <alignment horizontal="right"/>
    </xf>
    <xf numFmtId="166" fontId="21" fillId="3" borderId="0" xfId="17" applyNumberFormat="1" applyFont="1" applyFill="1" applyAlignment="1">
      <alignment horizontal="right"/>
    </xf>
    <xf numFmtId="1" fontId="21" fillId="3" borderId="0" xfId="17" applyNumberFormat="1" applyFont="1" applyFill="1" applyAlignment="1">
      <alignment horizontal="right"/>
    </xf>
    <xf numFmtId="0" fontId="21" fillId="3" borderId="0" xfId="17" applyFont="1" applyFill="1"/>
    <xf numFmtId="0" fontId="27" fillId="3" borderId="0" xfId="17" applyFont="1" applyFill="1" applyAlignment="1">
      <alignment horizontal="center"/>
    </xf>
    <xf numFmtId="0" fontId="31" fillId="3" borderId="1" xfId="17" applyFont="1" applyFill="1" applyBorder="1" applyAlignment="1">
      <alignment horizontal="center"/>
    </xf>
    <xf numFmtId="167" fontId="32" fillId="3" borderId="1" xfId="17" applyNumberFormat="1" applyFont="1" applyFill="1" applyBorder="1" applyAlignment="1">
      <alignment horizontal="right"/>
    </xf>
    <xf numFmtId="49" fontId="32" fillId="3" borderId="1" xfId="17" applyNumberFormat="1" applyFont="1" applyFill="1" applyBorder="1" applyAlignment="1">
      <alignment horizontal="center"/>
    </xf>
    <xf numFmtId="49" fontId="31" fillId="3" borderId="1" xfId="17" applyNumberFormat="1" applyFont="1" applyFill="1" applyBorder="1" applyAlignment="1">
      <alignment horizontal="center"/>
    </xf>
    <xf numFmtId="1" fontId="33" fillId="3" borderId="1" xfId="17" applyNumberFormat="1" applyFont="1" applyFill="1" applyBorder="1" applyAlignment="1">
      <alignment horizontal="right"/>
    </xf>
    <xf numFmtId="166" fontId="34" fillId="3" borderId="0" xfId="18" applyNumberFormat="1" applyFont="1" applyFill="1" applyAlignment="1">
      <alignment horizontal="right"/>
    </xf>
    <xf numFmtId="1" fontId="31" fillId="3" borderId="1" xfId="17" applyNumberFormat="1" applyFont="1" applyFill="1" applyBorder="1" applyAlignment="1">
      <alignment horizontal="right"/>
    </xf>
    <xf numFmtId="165" fontId="31" fillId="3" borderId="1" xfId="17" applyNumberFormat="1" applyFont="1" applyFill="1" applyBorder="1" applyAlignment="1">
      <alignment horizontal="right"/>
    </xf>
    <xf numFmtId="0" fontId="31" fillId="3" borderId="1" xfId="17" applyFont="1" applyFill="1" applyBorder="1" applyAlignment="1">
      <alignment horizontal="right"/>
    </xf>
    <xf numFmtId="2" fontId="31" fillId="3" borderId="1" xfId="17" applyNumberFormat="1" applyFont="1" applyFill="1" applyBorder="1" applyAlignment="1">
      <alignment horizontal="right"/>
    </xf>
    <xf numFmtId="164" fontId="31" fillId="3" borderId="1" xfId="17" applyNumberFormat="1" applyFont="1" applyFill="1" applyBorder="1"/>
    <xf numFmtId="0" fontId="27" fillId="3" borderId="0" xfId="17" applyFont="1" applyFill="1"/>
    <xf numFmtId="49" fontId="27" fillId="3" borderId="0" xfId="17" applyNumberFormat="1" applyFont="1" applyFill="1" applyAlignment="1">
      <alignment horizontal="center"/>
    </xf>
    <xf numFmtId="1" fontId="29" fillId="3" borderId="0" xfId="17" applyNumberFormat="1" applyFont="1" applyFill="1" applyAlignment="1">
      <alignment horizontal="right"/>
    </xf>
    <xf numFmtId="2" fontId="27" fillId="3" borderId="2" xfId="17" applyNumberFormat="1" applyFont="1" applyFill="1" applyBorder="1" applyAlignment="1">
      <alignment horizontal="right"/>
    </xf>
    <xf numFmtId="2" fontId="27" fillId="3" borderId="0" xfId="17" applyNumberFormat="1" applyFont="1" applyFill="1" applyAlignment="1">
      <alignment horizontal="right"/>
    </xf>
    <xf numFmtId="165" fontId="27" fillId="3" borderId="0" xfId="17" applyNumberFormat="1" applyFont="1" applyFill="1" applyAlignment="1">
      <alignment horizontal="right"/>
    </xf>
    <xf numFmtId="166" fontId="27" fillId="3" borderId="0" xfId="17" applyNumberFormat="1" applyFont="1" applyFill="1" applyAlignment="1">
      <alignment horizontal="right"/>
    </xf>
    <xf numFmtId="1" fontId="27" fillId="3" borderId="0" xfId="17" applyNumberFormat="1" applyFont="1" applyFill="1" applyAlignment="1">
      <alignment horizontal="right"/>
    </xf>
    <xf numFmtId="0" fontId="27" fillId="3" borderId="0" xfId="17" applyFont="1" applyFill="1" applyAlignment="1">
      <alignment horizontal="right"/>
    </xf>
    <xf numFmtId="164" fontId="27" fillId="3" borderId="0" xfId="17" applyNumberFormat="1" applyFont="1" applyFill="1"/>
    <xf numFmtId="167" fontId="28" fillId="3" borderId="0" xfId="17" applyNumberFormat="1" applyFont="1" applyFill="1" applyAlignment="1">
      <alignment horizontal="right"/>
    </xf>
    <xf numFmtId="49" fontId="28" fillId="3" borderId="0" xfId="17" applyNumberFormat="1" applyFont="1" applyFill="1" applyAlignment="1">
      <alignment horizontal="center"/>
    </xf>
    <xf numFmtId="166" fontId="34" fillId="3" borderId="0" xfId="18" applyNumberFormat="1" applyFont="1" applyFill="1"/>
    <xf numFmtId="0" fontId="31" fillId="2" borderId="1" xfId="17" applyFont="1" applyFill="1" applyBorder="1" applyAlignment="1" applyProtection="1">
      <alignment horizontal="center"/>
      <protection locked="0"/>
    </xf>
    <xf numFmtId="0" fontId="4" fillId="3" borderId="0" xfId="18" quotePrefix="1" applyFill="1"/>
    <xf numFmtId="0" fontId="4" fillId="3" borderId="0" xfId="18" applyFill="1" applyAlignment="1">
      <alignment horizontal="center"/>
    </xf>
    <xf numFmtId="167" fontId="15" fillId="3" borderId="0" xfId="18" applyNumberFormat="1" applyFont="1" applyFill="1" applyAlignment="1">
      <alignment horizontal="right"/>
    </xf>
    <xf numFmtId="0" fontId="16" fillId="3" borderId="0" xfId="18" applyFont="1" applyFill="1" applyAlignment="1">
      <alignment horizontal="right"/>
    </xf>
    <xf numFmtId="0" fontId="4" fillId="3" borderId="0" xfId="18" applyFill="1" applyAlignment="1">
      <alignment horizontal="right"/>
    </xf>
    <xf numFmtId="165" fontId="4" fillId="3" borderId="0" xfId="18" applyNumberFormat="1" applyFill="1" applyAlignment="1">
      <alignment horizontal="right"/>
    </xf>
    <xf numFmtId="0" fontId="4" fillId="3" borderId="0" xfId="18" applyFill="1"/>
    <xf numFmtId="0" fontId="4" fillId="3" borderId="0" xfId="18" applyFill="1" applyAlignment="1">
      <alignment vertical="center"/>
    </xf>
    <xf numFmtId="168" fontId="4" fillId="3" borderId="2" xfId="18" applyNumberFormat="1" applyFill="1" applyBorder="1" applyAlignment="1">
      <alignment horizontal="left" vertical="center"/>
    </xf>
    <xf numFmtId="168" fontId="4" fillId="3" borderId="0" xfId="18" applyNumberFormat="1" applyFill="1" applyAlignment="1">
      <alignment vertical="center"/>
    </xf>
    <xf numFmtId="0" fontId="4" fillId="3" borderId="0" xfId="18" applyFill="1" applyAlignment="1">
      <alignment horizontal="center" vertical="center"/>
    </xf>
    <xf numFmtId="167" fontId="15" fillId="3" borderId="0" xfId="18" applyNumberFormat="1" applyFont="1" applyFill="1" applyAlignment="1">
      <alignment horizontal="right" vertical="center"/>
    </xf>
    <xf numFmtId="0" fontId="16" fillId="3" borderId="0" xfId="18" applyFont="1" applyFill="1" applyAlignment="1">
      <alignment horizontal="right" vertical="center"/>
    </xf>
    <xf numFmtId="0" fontId="4" fillId="3" borderId="0" xfId="18" applyFill="1" applyAlignment="1">
      <alignment horizontal="right" vertical="center"/>
    </xf>
    <xf numFmtId="0" fontId="34" fillId="3" borderId="0" xfId="18" applyFont="1" applyFill="1" applyAlignment="1">
      <alignment horizontal="center" vertical="center"/>
    </xf>
    <xf numFmtId="0" fontId="24" fillId="3" borderId="0" xfId="18" applyFont="1" applyFill="1" applyAlignment="1">
      <alignment horizontal="center" vertical="center"/>
    </xf>
    <xf numFmtId="167" fontId="25" fillId="3" borderId="0" xfId="18" applyNumberFormat="1" applyFont="1" applyFill="1" applyAlignment="1">
      <alignment horizontal="right" vertical="center"/>
    </xf>
    <xf numFmtId="0" fontId="26" fillId="3" borderId="0" xfId="18" applyFont="1" applyFill="1" applyAlignment="1">
      <alignment horizontal="right" vertical="center"/>
    </xf>
    <xf numFmtId="0" fontId="34" fillId="3" borderId="0" xfId="18" applyFont="1" applyFill="1" applyAlignment="1">
      <alignment horizontal="right" vertical="center"/>
    </xf>
    <xf numFmtId="165" fontId="34" fillId="3" borderId="0" xfId="18" applyNumberFormat="1" applyFont="1" applyFill="1" applyAlignment="1">
      <alignment horizontal="right" vertical="center"/>
    </xf>
    <xf numFmtId="0" fontId="24" fillId="3" borderId="0" xfId="18" applyFont="1" applyFill="1" applyAlignment="1">
      <alignment horizontal="right" vertical="center"/>
    </xf>
    <xf numFmtId="165" fontId="24" fillId="3" borderId="0" xfId="18" applyNumberFormat="1" applyFont="1" applyFill="1" applyAlignment="1">
      <alignment horizontal="right" vertical="center"/>
    </xf>
    <xf numFmtId="0" fontId="17" fillId="3" borderId="0" xfId="18" applyFont="1" applyFill="1" applyAlignment="1">
      <alignment horizontal="right" vertical="center"/>
    </xf>
    <xf numFmtId="165" fontId="4" fillId="3" borderId="0" xfId="18" applyNumberFormat="1" applyFill="1" applyAlignment="1">
      <alignment horizontal="right" vertical="center"/>
    </xf>
    <xf numFmtId="49" fontId="15" fillId="3" borderId="0" xfId="18" applyNumberFormat="1" applyFont="1" applyFill="1" applyAlignment="1">
      <alignment horizontal="center"/>
    </xf>
    <xf numFmtId="49" fontId="4" fillId="3" borderId="0" xfId="18" applyNumberFormat="1" applyFill="1" applyAlignment="1">
      <alignment horizontal="center"/>
    </xf>
    <xf numFmtId="1" fontId="16" fillId="3" borderId="0" xfId="18" applyNumberFormat="1" applyFont="1" applyFill="1" applyAlignment="1">
      <alignment horizontal="right"/>
    </xf>
    <xf numFmtId="2" fontId="4" fillId="3" borderId="0" xfId="18" applyNumberFormat="1" applyFill="1" applyAlignment="1">
      <alignment horizontal="right"/>
    </xf>
    <xf numFmtId="166" fontId="4" fillId="3" borderId="0" xfId="18" applyNumberFormat="1" applyFill="1" applyAlignment="1">
      <alignment horizontal="right"/>
    </xf>
    <xf numFmtId="1" fontId="4" fillId="3" borderId="0" xfId="18" applyNumberFormat="1" applyFill="1" applyAlignment="1">
      <alignment horizontal="right"/>
    </xf>
    <xf numFmtId="164" fontId="4" fillId="3" borderId="0" xfId="18" applyNumberFormat="1" applyFill="1"/>
    <xf numFmtId="0" fontId="21" fillId="3" borderId="0" xfId="18" applyFont="1" applyFill="1" applyAlignment="1">
      <alignment horizontal="center"/>
    </xf>
    <xf numFmtId="167" fontId="22" fillId="3" borderId="0" xfId="18" applyNumberFormat="1" applyFont="1" applyFill="1" applyAlignment="1">
      <alignment horizontal="right"/>
    </xf>
    <xf numFmtId="49" fontId="22" fillId="3" borderId="0" xfId="18" applyNumberFormat="1" applyFont="1" applyFill="1" applyAlignment="1">
      <alignment horizontal="center"/>
    </xf>
    <xf numFmtId="49" fontId="21" fillId="3" borderId="0" xfId="18" applyNumberFormat="1" applyFont="1" applyFill="1" applyAlignment="1">
      <alignment horizontal="center"/>
    </xf>
    <xf numFmtId="0" fontId="23" fillId="3" borderId="0" xfId="18" applyFont="1" applyFill="1" applyAlignment="1">
      <alignment horizontal="right"/>
    </xf>
    <xf numFmtId="0" fontId="21" fillId="3" borderId="0" xfId="18" applyFont="1" applyFill="1" applyAlignment="1">
      <alignment horizontal="right"/>
    </xf>
    <xf numFmtId="165" fontId="21" fillId="3" borderId="0" xfId="18" applyNumberFormat="1" applyFont="1" applyFill="1" applyAlignment="1">
      <alignment horizontal="right"/>
    </xf>
    <xf numFmtId="2" fontId="21" fillId="3" borderId="0" xfId="18" applyNumberFormat="1" applyFont="1" applyFill="1" applyAlignment="1">
      <alignment horizontal="right"/>
    </xf>
    <xf numFmtId="166" fontId="21" fillId="3" borderId="0" xfId="18" applyNumberFormat="1" applyFont="1" applyFill="1" applyAlignment="1">
      <alignment horizontal="right"/>
    </xf>
    <xf numFmtId="1" fontId="21" fillId="3" borderId="0" xfId="18" applyNumberFormat="1" applyFont="1" applyFill="1" applyAlignment="1">
      <alignment horizontal="right"/>
    </xf>
    <xf numFmtId="0" fontId="21" fillId="3" borderId="0" xfId="18" applyFont="1" applyFill="1"/>
    <xf numFmtId="0" fontId="27" fillId="3" borderId="0" xfId="18" applyFont="1" applyFill="1" applyAlignment="1">
      <alignment horizontal="center"/>
    </xf>
    <xf numFmtId="0" fontId="31" fillId="3" borderId="1" xfId="18" applyFont="1" applyFill="1" applyBorder="1" applyAlignment="1">
      <alignment horizontal="center"/>
    </xf>
    <xf numFmtId="167" fontId="32" fillId="3" borderId="1" xfId="18" applyNumberFormat="1" applyFont="1" applyFill="1" applyBorder="1" applyAlignment="1">
      <alignment horizontal="right"/>
    </xf>
    <xf numFmtId="49" fontId="32" fillId="3" borderId="1" xfId="18" applyNumberFormat="1" applyFont="1" applyFill="1" applyBorder="1" applyAlignment="1">
      <alignment horizontal="center"/>
    </xf>
    <xf numFmtId="49" fontId="31" fillId="3" borderId="1" xfId="18" applyNumberFormat="1" applyFont="1" applyFill="1" applyBorder="1" applyAlignment="1">
      <alignment horizontal="center"/>
    </xf>
    <xf numFmtId="1" fontId="33" fillId="3" borderId="1" xfId="18" applyNumberFormat="1" applyFont="1" applyFill="1" applyBorder="1" applyAlignment="1">
      <alignment horizontal="right"/>
    </xf>
    <xf numFmtId="1" fontId="31" fillId="3" borderId="1" xfId="18" applyNumberFormat="1" applyFont="1" applyFill="1" applyBorder="1" applyAlignment="1">
      <alignment horizontal="right"/>
    </xf>
    <xf numFmtId="165" fontId="31" fillId="3" borderId="1" xfId="18" applyNumberFormat="1" applyFont="1" applyFill="1" applyBorder="1" applyAlignment="1">
      <alignment horizontal="right"/>
    </xf>
    <xf numFmtId="0" fontId="31" fillId="3" borderId="1" xfId="18" applyFont="1" applyFill="1" applyBorder="1" applyAlignment="1">
      <alignment horizontal="right"/>
    </xf>
    <xf numFmtId="2" fontId="31" fillId="3" borderId="1" xfId="18" applyNumberFormat="1" applyFont="1" applyFill="1" applyBorder="1" applyAlignment="1">
      <alignment horizontal="right"/>
    </xf>
    <xf numFmtId="164" fontId="31" fillId="3" borderId="1" xfId="18" applyNumberFormat="1" applyFont="1" applyFill="1" applyBorder="1"/>
    <xf numFmtId="0" fontId="27" fillId="3" borderId="0" xfId="18" applyFont="1" applyFill="1"/>
    <xf numFmtId="49" fontId="27" fillId="3" borderId="0" xfId="18" applyNumberFormat="1" applyFont="1" applyFill="1" applyAlignment="1">
      <alignment horizontal="center"/>
    </xf>
    <xf numFmtId="1" fontId="29" fillId="3" borderId="0" xfId="18" applyNumberFormat="1" applyFont="1" applyFill="1" applyAlignment="1">
      <alignment horizontal="right"/>
    </xf>
    <xf numFmtId="2" fontId="27" fillId="3" borderId="2" xfId="18" applyNumberFormat="1" applyFont="1" applyFill="1" applyBorder="1" applyAlignment="1">
      <alignment horizontal="right"/>
    </xf>
    <xf numFmtId="2" fontId="27" fillId="3" borderId="0" xfId="18" applyNumberFormat="1" applyFont="1" applyFill="1" applyAlignment="1">
      <alignment horizontal="right"/>
    </xf>
    <xf numFmtId="165" fontId="27" fillId="3" borderId="0" xfId="18" applyNumberFormat="1" applyFont="1" applyFill="1" applyAlignment="1">
      <alignment horizontal="right"/>
    </xf>
    <xf numFmtId="166" fontId="27" fillId="3" borderId="0" xfId="18" applyNumberFormat="1" applyFont="1" applyFill="1" applyAlignment="1">
      <alignment horizontal="right"/>
    </xf>
    <xf numFmtId="1" fontId="27" fillId="3" borderId="0" xfId="18" applyNumberFormat="1" applyFont="1" applyFill="1" applyAlignment="1">
      <alignment horizontal="right"/>
    </xf>
    <xf numFmtId="0" fontId="27" fillId="3" borderId="0" xfId="18" applyFont="1" applyFill="1" applyAlignment="1">
      <alignment horizontal="right"/>
    </xf>
    <xf numFmtId="164" fontId="27" fillId="3" borderId="0" xfId="18" applyNumberFormat="1" applyFont="1" applyFill="1"/>
    <xf numFmtId="167" fontId="28" fillId="3" borderId="0" xfId="18" applyNumberFormat="1" applyFont="1" applyFill="1" applyAlignment="1">
      <alignment horizontal="right"/>
    </xf>
    <xf numFmtId="49" fontId="28" fillId="3" borderId="0" xfId="18" applyNumberFormat="1" applyFont="1" applyFill="1" applyAlignment="1">
      <alignment horizontal="center"/>
    </xf>
    <xf numFmtId="0" fontId="24" fillId="3" borderId="0" xfId="18" applyFont="1" applyFill="1" applyAlignment="1">
      <alignment horizontal="center"/>
    </xf>
    <xf numFmtId="167" fontId="25" fillId="3" borderId="0" xfId="18" applyNumberFormat="1" applyFont="1" applyFill="1" applyAlignment="1">
      <alignment horizontal="right"/>
    </xf>
    <xf numFmtId="49" fontId="25" fillId="3" borderId="0" xfId="18" applyNumberFormat="1" applyFont="1" applyFill="1" applyAlignment="1">
      <alignment horizontal="center"/>
    </xf>
    <xf numFmtId="0" fontId="34" fillId="3" borderId="0" xfId="18" applyFont="1" applyFill="1" applyAlignment="1">
      <alignment horizontal="center"/>
    </xf>
    <xf numFmtId="49" fontId="24" fillId="3" borderId="0" xfId="18" applyNumberFormat="1" applyFont="1" applyFill="1" applyAlignment="1">
      <alignment horizontal="center"/>
    </xf>
    <xf numFmtId="0" fontId="26" fillId="3" borderId="0" xfId="18" applyFont="1" applyFill="1" applyAlignment="1">
      <alignment horizontal="right"/>
    </xf>
    <xf numFmtId="0" fontId="24" fillId="3" borderId="0" xfId="18" applyFont="1" applyFill="1" applyAlignment="1">
      <alignment horizontal="right"/>
    </xf>
    <xf numFmtId="0" fontId="34" fillId="3" borderId="0" xfId="18" applyFont="1" applyFill="1" applyAlignment="1">
      <alignment horizontal="right"/>
    </xf>
    <xf numFmtId="165" fontId="24" fillId="3" borderId="0" xfId="18" applyNumberFormat="1" applyFont="1" applyFill="1" applyAlignment="1">
      <alignment horizontal="right"/>
    </xf>
    <xf numFmtId="2" fontId="24" fillId="3" borderId="0" xfId="18" applyNumberFormat="1" applyFont="1" applyFill="1" applyAlignment="1">
      <alignment horizontal="right"/>
    </xf>
    <xf numFmtId="166" fontId="24" fillId="3" borderId="0" xfId="18" applyNumberFormat="1" applyFont="1" applyFill="1" applyAlignment="1">
      <alignment horizontal="right"/>
    </xf>
    <xf numFmtId="1" fontId="24" fillId="3" borderId="0" xfId="18" applyNumberFormat="1" applyFont="1" applyFill="1" applyAlignment="1">
      <alignment horizontal="right"/>
    </xf>
    <xf numFmtId="0" fontId="24" fillId="3" borderId="0" xfId="18" applyFont="1" applyFill="1"/>
    <xf numFmtId="0" fontId="31" fillId="2" borderId="1" xfId="18" applyFont="1" applyFill="1" applyBorder="1" applyAlignment="1" applyProtection="1">
      <alignment horizontal="center"/>
      <protection locked="0"/>
    </xf>
    <xf numFmtId="0" fontId="2" fillId="3" borderId="0" xfId="18" applyFont="1" applyFill="1" applyAlignment="1">
      <alignment horizontal="center"/>
    </xf>
    <xf numFmtId="2" fontId="34" fillId="3" borderId="0" xfId="18" applyNumberFormat="1" applyFont="1" applyFill="1" applyAlignment="1">
      <alignment horizontal="center"/>
    </xf>
    <xf numFmtId="2" fontId="34" fillId="3" borderId="0" xfId="18" applyNumberFormat="1" applyFont="1" applyFill="1" applyAlignment="1">
      <alignment horizontal="right"/>
    </xf>
    <xf numFmtId="0" fontId="3" fillId="3" borderId="0" xfId="20" quotePrefix="1" applyFill="1"/>
    <xf numFmtId="0" fontId="3" fillId="3" borderId="0" xfId="20" applyFill="1" applyAlignment="1">
      <alignment horizontal="center"/>
    </xf>
    <xf numFmtId="167" fontId="15" fillId="3" borderId="0" xfId="20" applyNumberFormat="1" applyFont="1" applyFill="1" applyAlignment="1">
      <alignment horizontal="right"/>
    </xf>
    <xf numFmtId="0" fontId="16" fillId="3" borderId="0" xfId="20" applyFont="1" applyFill="1" applyAlignment="1">
      <alignment horizontal="right"/>
    </xf>
    <xf numFmtId="0" fontId="3" fillId="3" borderId="0" xfId="20" applyFill="1" applyAlignment="1">
      <alignment horizontal="right"/>
    </xf>
    <xf numFmtId="165" fontId="3" fillId="3" borderId="0" xfId="20" applyNumberFormat="1" applyFill="1" applyAlignment="1">
      <alignment horizontal="right"/>
    </xf>
    <xf numFmtId="0" fontId="3" fillId="3" borderId="0" xfId="20" applyFill="1"/>
    <xf numFmtId="0" fontId="3" fillId="3" borderId="1" xfId="20" applyFill="1" applyBorder="1" applyAlignment="1">
      <alignment horizontal="left" vertical="center"/>
    </xf>
    <xf numFmtId="168" fontId="3" fillId="3" borderId="2" xfId="20" applyNumberFormat="1" applyFill="1" applyBorder="1" applyAlignment="1">
      <alignment horizontal="left" vertical="center"/>
    </xf>
    <xf numFmtId="168" fontId="3" fillId="3" borderId="0" xfId="20" applyNumberFormat="1" applyFill="1" applyAlignment="1">
      <alignment vertical="center"/>
    </xf>
    <xf numFmtId="0" fontId="3" fillId="3" borderId="0" xfId="20" applyFill="1" applyAlignment="1">
      <alignment horizontal="center" vertical="center"/>
    </xf>
    <xf numFmtId="167" fontId="15" fillId="3" borderId="0" xfId="20" applyNumberFormat="1" applyFont="1" applyFill="1" applyAlignment="1">
      <alignment horizontal="right" vertical="center"/>
    </xf>
    <xf numFmtId="0" fontId="16" fillId="3" borderId="0" xfId="20" applyFont="1" applyFill="1" applyAlignment="1">
      <alignment horizontal="right" vertical="center"/>
    </xf>
    <xf numFmtId="0" fontId="3" fillId="3" borderId="0" xfId="20" applyFill="1" applyAlignment="1">
      <alignment horizontal="right" vertical="center"/>
    </xf>
    <xf numFmtId="0" fontId="3" fillId="3" borderId="0" xfId="20" applyFill="1" applyAlignment="1">
      <alignment vertical="center"/>
    </xf>
    <xf numFmtId="0" fontId="34" fillId="3" borderId="0" xfId="20" applyFont="1" applyFill="1" applyAlignment="1">
      <alignment horizontal="center" vertical="center"/>
    </xf>
    <xf numFmtId="0" fontId="24" fillId="3" borderId="0" xfId="20" applyFont="1" applyFill="1" applyAlignment="1">
      <alignment horizontal="center" vertical="center"/>
    </xf>
    <xf numFmtId="167" fontId="25" fillId="3" borderId="0" xfId="20" applyNumberFormat="1" applyFont="1" applyFill="1" applyAlignment="1">
      <alignment horizontal="right" vertical="center"/>
    </xf>
    <xf numFmtId="0" fontId="26" fillId="3" borderId="0" xfId="20" applyFont="1" applyFill="1" applyAlignment="1">
      <alignment horizontal="right" vertical="center"/>
    </xf>
    <xf numFmtId="0" fontId="34" fillId="3" borderId="0" xfId="20" applyFont="1" applyFill="1" applyAlignment="1">
      <alignment horizontal="right" vertical="center"/>
    </xf>
    <xf numFmtId="165" fontId="34" fillId="3" borderId="0" xfId="20" applyNumberFormat="1" applyFont="1" applyFill="1" applyAlignment="1">
      <alignment horizontal="right" vertical="center"/>
    </xf>
    <xf numFmtId="0" fontId="24" fillId="3" borderId="0" xfId="20" applyFont="1" applyFill="1" applyAlignment="1">
      <alignment horizontal="right" vertical="center"/>
    </xf>
    <xf numFmtId="165" fontId="24" fillId="3" borderId="0" xfId="20" applyNumberFormat="1" applyFont="1" applyFill="1" applyAlignment="1">
      <alignment horizontal="right" vertical="center"/>
    </xf>
    <xf numFmtId="0" fontId="17" fillId="3" borderId="0" xfId="20" applyFont="1" applyFill="1" applyAlignment="1">
      <alignment horizontal="right" vertical="center"/>
    </xf>
    <xf numFmtId="165" fontId="3" fillId="3" borderId="0" xfId="20" applyNumberFormat="1" applyFill="1" applyAlignment="1">
      <alignment horizontal="right" vertical="center"/>
    </xf>
    <xf numFmtId="0" fontId="27" fillId="3" borderId="0" xfId="20" applyFont="1" applyFill="1"/>
    <xf numFmtId="0" fontId="27" fillId="3" borderId="0" xfId="20" applyFont="1" applyFill="1" applyAlignment="1">
      <alignment horizontal="center"/>
    </xf>
    <xf numFmtId="167" fontId="28" fillId="3" borderId="0" xfId="20" applyNumberFormat="1" applyFont="1" applyFill="1" applyAlignment="1">
      <alignment horizontal="right"/>
    </xf>
    <xf numFmtId="49" fontId="28" fillId="3" borderId="0" xfId="20" applyNumberFormat="1" applyFont="1" applyFill="1" applyAlignment="1">
      <alignment horizontal="center"/>
    </xf>
    <xf numFmtId="2" fontId="34" fillId="3" borderId="0" xfId="20" applyNumberFormat="1" applyFont="1" applyFill="1" applyAlignment="1">
      <alignment horizontal="center"/>
    </xf>
    <xf numFmtId="49" fontId="27" fillId="3" borderId="0" xfId="20" applyNumberFormat="1" applyFont="1" applyFill="1" applyAlignment="1">
      <alignment horizontal="center"/>
    </xf>
    <xf numFmtId="1" fontId="29" fillId="3" borderId="0" xfId="20" applyNumberFormat="1" applyFont="1" applyFill="1" applyAlignment="1">
      <alignment horizontal="right"/>
    </xf>
    <xf numFmtId="2" fontId="34" fillId="3" borderId="0" xfId="20" applyNumberFormat="1" applyFont="1" applyFill="1" applyAlignment="1">
      <alignment horizontal="right"/>
    </xf>
    <xf numFmtId="0" fontId="27" fillId="3" borderId="0" xfId="20" applyFont="1" applyFill="1" applyAlignment="1">
      <alignment horizontal="right"/>
    </xf>
    <xf numFmtId="165" fontId="27" fillId="3" borderId="0" xfId="20" applyNumberFormat="1" applyFont="1" applyFill="1" applyAlignment="1">
      <alignment horizontal="right"/>
    </xf>
    <xf numFmtId="166" fontId="27" fillId="3" borderId="0" xfId="20" applyNumberFormat="1" applyFont="1" applyFill="1" applyAlignment="1">
      <alignment horizontal="right"/>
    </xf>
    <xf numFmtId="2" fontId="27" fillId="3" borderId="0" xfId="20" applyNumberFormat="1" applyFont="1" applyFill="1" applyAlignment="1">
      <alignment horizontal="right"/>
    </xf>
    <xf numFmtId="1" fontId="27" fillId="3" borderId="0" xfId="20" applyNumberFormat="1" applyFont="1" applyFill="1" applyAlignment="1">
      <alignment horizontal="right"/>
    </xf>
    <xf numFmtId="164" fontId="27" fillId="3" borderId="0" xfId="20" applyNumberFormat="1" applyFont="1" applyFill="1"/>
    <xf numFmtId="0" fontId="31" fillId="3" borderId="1" xfId="20" applyFont="1" applyFill="1" applyBorder="1" applyAlignment="1">
      <alignment horizontal="center"/>
    </xf>
    <xf numFmtId="167" fontId="32" fillId="3" borderId="1" xfId="20" applyNumberFormat="1" applyFont="1" applyFill="1" applyBorder="1" applyAlignment="1">
      <alignment horizontal="right"/>
    </xf>
    <xf numFmtId="49" fontId="32" fillId="3" borderId="1" xfId="20" applyNumberFormat="1" applyFont="1" applyFill="1" applyBorder="1" applyAlignment="1">
      <alignment horizontal="center"/>
    </xf>
    <xf numFmtId="49" fontId="31" fillId="3" borderId="1" xfId="20" applyNumberFormat="1" applyFont="1" applyFill="1" applyBorder="1" applyAlignment="1">
      <alignment horizontal="center"/>
    </xf>
    <xf numFmtId="1" fontId="33" fillId="3" borderId="1" xfId="20" applyNumberFormat="1" applyFont="1" applyFill="1" applyBorder="1" applyAlignment="1">
      <alignment horizontal="right"/>
    </xf>
    <xf numFmtId="1" fontId="31" fillId="3" borderId="1" xfId="20" applyNumberFormat="1" applyFont="1" applyFill="1" applyBorder="1" applyAlignment="1">
      <alignment horizontal="right"/>
    </xf>
    <xf numFmtId="165" fontId="31" fillId="3" borderId="1" xfId="20" applyNumberFormat="1" applyFont="1" applyFill="1" applyBorder="1" applyAlignment="1">
      <alignment horizontal="right"/>
    </xf>
    <xf numFmtId="0" fontId="31" fillId="3" borderId="1" xfId="20" applyFont="1" applyFill="1" applyBorder="1" applyAlignment="1">
      <alignment horizontal="right"/>
    </xf>
    <xf numFmtId="2" fontId="31" fillId="3" borderId="1" xfId="20" applyNumberFormat="1" applyFont="1" applyFill="1" applyBorder="1" applyAlignment="1">
      <alignment horizontal="right"/>
    </xf>
    <xf numFmtId="164" fontId="31" fillId="3" borderId="1" xfId="20" applyNumberFormat="1" applyFont="1" applyFill="1" applyBorder="1"/>
    <xf numFmtId="0" fontId="31" fillId="3" borderId="0" xfId="20" applyFont="1" applyFill="1" applyAlignment="1">
      <alignment horizontal="center"/>
    </xf>
    <xf numFmtId="167" fontId="32" fillId="3" borderId="0" xfId="20" applyNumberFormat="1" applyFont="1" applyFill="1" applyAlignment="1">
      <alignment horizontal="right"/>
    </xf>
    <xf numFmtId="49" fontId="32" fillId="3" borderId="0" xfId="20" applyNumberFormat="1" applyFont="1" applyFill="1" applyAlignment="1">
      <alignment horizontal="center"/>
    </xf>
    <xf numFmtId="49" fontId="31" fillId="3" borderId="0" xfId="20" applyNumberFormat="1" applyFont="1" applyFill="1" applyAlignment="1">
      <alignment horizontal="center"/>
    </xf>
    <xf numFmtId="1" fontId="33" fillId="3" borderId="0" xfId="20" applyNumberFormat="1" applyFont="1" applyFill="1" applyAlignment="1">
      <alignment horizontal="right"/>
    </xf>
    <xf numFmtId="1" fontId="31" fillId="3" borderId="0" xfId="20" applyNumberFormat="1" applyFont="1" applyFill="1" applyAlignment="1">
      <alignment horizontal="right"/>
    </xf>
    <xf numFmtId="165" fontId="31" fillId="3" borderId="0" xfId="20" applyNumberFormat="1" applyFont="1" applyFill="1" applyAlignment="1">
      <alignment horizontal="right"/>
    </xf>
    <xf numFmtId="0" fontId="31" fillId="3" borderId="0" xfId="20" applyFont="1" applyFill="1" applyAlignment="1">
      <alignment horizontal="right"/>
    </xf>
    <xf numFmtId="2" fontId="31" fillId="3" borderId="0" xfId="20" applyNumberFormat="1" applyFont="1" applyFill="1" applyAlignment="1">
      <alignment horizontal="right"/>
    </xf>
    <xf numFmtId="164" fontId="31" fillId="3" borderId="0" xfId="20" applyNumberFormat="1" applyFont="1" applyFill="1"/>
    <xf numFmtId="10" fontId="34" fillId="3" borderId="0" xfId="19" applyNumberFormat="1" applyFont="1" applyFill="1" applyAlignment="1" applyProtection="1">
      <alignment horizontal="center"/>
    </xf>
    <xf numFmtId="10" fontId="34" fillId="3" borderId="3" xfId="20" applyNumberFormat="1" applyFont="1" applyFill="1" applyBorder="1" applyAlignment="1">
      <alignment horizontal="center"/>
    </xf>
    <xf numFmtId="166" fontId="34" fillId="3" borderId="3" xfId="20" applyNumberFormat="1" applyFont="1" applyFill="1" applyBorder="1" applyAlignment="1">
      <alignment horizontal="right"/>
    </xf>
    <xf numFmtId="166" fontId="34" fillId="3" borderId="0" xfId="20" applyNumberFormat="1" applyFont="1" applyFill="1" applyAlignment="1">
      <alignment horizontal="right"/>
    </xf>
    <xf numFmtId="166" fontId="34" fillId="3" borderId="0" xfId="20" applyNumberFormat="1" applyFont="1" applyFill="1"/>
    <xf numFmtId="2" fontId="3" fillId="3" borderId="0" xfId="20" applyNumberFormat="1" applyFill="1" applyAlignment="1">
      <alignment horizontal="right"/>
    </xf>
    <xf numFmtId="0" fontId="21" fillId="3" borderId="0" xfId="20" applyFont="1" applyFill="1" applyAlignment="1">
      <alignment horizontal="center"/>
    </xf>
    <xf numFmtId="167" fontId="22" fillId="3" borderId="0" xfId="20" applyNumberFormat="1" applyFont="1" applyFill="1" applyAlignment="1">
      <alignment horizontal="right"/>
    </xf>
    <xf numFmtId="49" fontId="22" fillId="3" borderId="0" xfId="20" applyNumberFormat="1" applyFont="1" applyFill="1" applyAlignment="1">
      <alignment horizontal="center"/>
    </xf>
    <xf numFmtId="49" fontId="21" fillId="3" borderId="0" xfId="20" applyNumberFormat="1" applyFont="1" applyFill="1" applyAlignment="1">
      <alignment horizontal="center"/>
    </xf>
    <xf numFmtId="0" fontId="23" fillId="3" borderId="0" xfId="20" applyFont="1" applyFill="1" applyAlignment="1">
      <alignment horizontal="right"/>
    </xf>
    <xf numFmtId="0" fontId="21" fillId="3" borderId="0" xfId="20" applyFont="1" applyFill="1" applyAlignment="1">
      <alignment horizontal="right"/>
    </xf>
    <xf numFmtId="165" fontId="21" fillId="3" borderId="0" xfId="20" applyNumberFormat="1" applyFont="1" applyFill="1" applyAlignment="1">
      <alignment horizontal="right"/>
    </xf>
    <xf numFmtId="2" fontId="21" fillId="3" borderId="0" xfId="20" applyNumberFormat="1" applyFont="1" applyFill="1" applyAlignment="1">
      <alignment horizontal="right"/>
    </xf>
    <xf numFmtId="166" fontId="21" fillId="3" borderId="0" xfId="20" applyNumberFormat="1" applyFont="1" applyFill="1" applyAlignment="1">
      <alignment horizontal="right"/>
    </xf>
    <xf numFmtId="1" fontId="21" fillId="3" borderId="0" xfId="20" applyNumberFormat="1" applyFont="1" applyFill="1" applyAlignment="1">
      <alignment horizontal="right"/>
    </xf>
    <xf numFmtId="0" fontId="21" fillId="3" borderId="0" xfId="20" applyFont="1" applyFill="1"/>
    <xf numFmtId="49" fontId="34" fillId="3" borderId="0" xfId="20" applyNumberFormat="1" applyFont="1" applyFill="1" applyAlignment="1">
      <alignment horizontal="right"/>
    </xf>
    <xf numFmtId="10" fontId="34" fillId="3" borderId="0" xfId="20" applyNumberFormat="1" applyFont="1" applyFill="1" applyAlignment="1">
      <alignment horizontal="center"/>
    </xf>
    <xf numFmtId="166" fontId="34" fillId="3" borderId="3" xfId="20" applyNumberFormat="1" applyFont="1" applyFill="1" applyBorder="1"/>
    <xf numFmtId="2" fontId="34" fillId="3" borderId="3" xfId="20" applyNumberFormat="1" applyFont="1" applyFill="1" applyBorder="1" applyAlignment="1">
      <alignment horizontal="right"/>
    </xf>
    <xf numFmtId="0" fontId="34" fillId="3" borderId="0" xfId="20" applyFont="1" applyFill="1"/>
    <xf numFmtId="2" fontId="34" fillId="3" borderId="1" xfId="18" applyNumberFormat="1" applyFont="1" applyFill="1" applyBorder="1" applyAlignment="1">
      <alignment horizontal="right"/>
    </xf>
    <xf numFmtId="2" fontId="27" fillId="3" borderId="2" xfId="17" applyNumberFormat="1" applyFont="1" applyFill="1" applyBorder="1" applyAlignment="1" applyProtection="1">
      <alignment horizontal="right"/>
      <protection locked="0"/>
    </xf>
    <xf numFmtId="2" fontId="27" fillId="3" borderId="0" xfId="17" applyNumberFormat="1" applyFont="1" applyFill="1" applyAlignment="1" applyProtection="1">
      <alignment horizontal="right"/>
      <protection locked="0"/>
    </xf>
    <xf numFmtId="2" fontId="27" fillId="3" borderId="2" xfId="18" applyNumberFormat="1" applyFont="1" applyFill="1" applyBorder="1" applyAlignment="1" applyProtection="1">
      <alignment horizontal="right"/>
      <protection locked="0"/>
    </xf>
    <xf numFmtId="2" fontId="27" fillId="3" borderId="0" xfId="18" applyNumberFormat="1" applyFont="1" applyFill="1" applyAlignment="1" applyProtection="1">
      <alignment horizontal="right"/>
      <protection locked="0"/>
    </xf>
    <xf numFmtId="166" fontId="27" fillId="3" borderId="0" xfId="20" applyNumberFormat="1" applyFont="1" applyFill="1" applyAlignment="1" applyProtection="1">
      <alignment horizontal="right"/>
      <protection locked="0"/>
    </xf>
    <xf numFmtId="0" fontId="36" fillId="0" borderId="0" xfId="0" applyFont="1" applyAlignment="1">
      <alignment horizontal="center" vertical="top" wrapText="1"/>
    </xf>
    <xf numFmtId="0" fontId="0" fillId="0" borderId="0" xfId="0" applyAlignment="1">
      <alignment horizontal="center" vertical="top"/>
    </xf>
    <xf numFmtId="0" fontId="4" fillId="3" borderId="1" xfId="17" applyFill="1" applyBorder="1" applyAlignment="1">
      <alignment horizontal="center" vertical="center"/>
    </xf>
    <xf numFmtId="0" fontId="4" fillId="3" borderId="0" xfId="17" applyFill="1" applyAlignment="1">
      <alignment horizontal="center" vertical="center"/>
    </xf>
    <xf numFmtId="0" fontId="0" fillId="0" borderId="0" xfId="0" applyAlignment="1">
      <alignment horizontal="center" vertical="center"/>
    </xf>
    <xf numFmtId="0" fontId="13" fillId="3" borderId="0" xfId="17" applyFont="1" applyFill="1" applyAlignment="1">
      <alignment horizontal="center" vertical="center"/>
    </xf>
    <xf numFmtId="0" fontId="4" fillId="3" borderId="2" xfId="17" applyFill="1" applyBorder="1" applyAlignment="1">
      <alignment horizontal="center" vertical="center"/>
    </xf>
    <xf numFmtId="0" fontId="4" fillId="3" borderId="2" xfId="17" applyFill="1" applyBorder="1" applyAlignment="1">
      <alignment horizontal="right" vertical="center"/>
    </xf>
    <xf numFmtId="0" fontId="4" fillId="3" borderId="0" xfId="17" applyFill="1" applyAlignment="1">
      <alignment horizontal="right" vertical="center"/>
    </xf>
    <xf numFmtId="0" fontId="4" fillId="3" borderId="0" xfId="17" applyFill="1" applyAlignment="1">
      <alignment horizontal="center" vertical="center" wrapText="1"/>
    </xf>
    <xf numFmtId="0" fontId="4" fillId="3" borderId="1" xfId="18" applyFill="1" applyBorder="1" applyAlignment="1">
      <alignment horizontal="center" vertical="center"/>
    </xf>
    <xf numFmtId="0" fontId="4" fillId="3" borderId="0" xfId="18" applyFill="1" applyAlignment="1">
      <alignment horizontal="center" vertical="center"/>
    </xf>
    <xf numFmtId="0" fontId="13" fillId="3" borderId="0" xfId="18" applyFont="1" applyFill="1" applyAlignment="1">
      <alignment horizontal="center" vertical="center"/>
    </xf>
    <xf numFmtId="0" fontId="4" fillId="3" borderId="2" xfId="18" applyFill="1" applyBorder="1" applyAlignment="1">
      <alignment horizontal="center" vertical="center"/>
    </xf>
    <xf numFmtId="0" fontId="4" fillId="3" borderId="2" xfId="18" applyFill="1" applyBorder="1" applyAlignment="1">
      <alignment horizontal="right" vertical="center"/>
    </xf>
    <xf numFmtId="0" fontId="4" fillId="3" borderId="0" xfId="18" applyFill="1" applyAlignment="1">
      <alignment horizontal="right" vertical="center"/>
    </xf>
    <xf numFmtId="0" fontId="4" fillId="3" borderId="0" xfId="18" applyFill="1" applyAlignment="1">
      <alignment horizontal="center" vertical="center" wrapText="1"/>
    </xf>
    <xf numFmtId="0" fontId="3" fillId="3" borderId="0" xfId="20" applyFill="1" applyAlignment="1">
      <alignment horizontal="center" vertical="center"/>
    </xf>
    <xf numFmtId="0" fontId="3" fillId="3" borderId="2" xfId="20" applyFill="1" applyBorder="1" applyAlignment="1">
      <alignment horizontal="center" vertical="center"/>
    </xf>
    <xf numFmtId="0" fontId="3" fillId="3" borderId="0" xfId="20" applyFill="1" applyAlignment="1">
      <alignment horizontal="center" vertical="center" wrapText="1"/>
    </xf>
    <xf numFmtId="0" fontId="3" fillId="3" borderId="2" xfId="20" applyFill="1" applyBorder="1" applyAlignment="1">
      <alignment horizontal="right" vertical="center"/>
    </xf>
    <xf numFmtId="0" fontId="3" fillId="3" borderId="0" xfId="20" applyFill="1" applyAlignment="1">
      <alignment horizontal="right" vertical="center"/>
    </xf>
    <xf numFmtId="0" fontId="3" fillId="3" borderId="1" xfId="20" applyFill="1" applyBorder="1" applyAlignment="1">
      <alignment horizontal="center" vertical="center"/>
    </xf>
    <xf numFmtId="0" fontId="13" fillId="3" borderId="0" xfId="20" applyFont="1" applyFill="1" applyAlignment="1">
      <alignment horizontal="center" vertical="center"/>
    </xf>
  </cellXfs>
  <cellStyles count="21">
    <cellStyle name="Comma 2" xfId="14" xr:uid="{0837FE44-9681-4721-AC92-DCC88EFBCC57}"/>
    <cellStyle name="Normal" xfId="0" builtinId="0"/>
    <cellStyle name="Normal 2" xfId="8" xr:uid="{307CF04D-12E7-429B-B124-7D085431F9AB}"/>
    <cellStyle name="Percent" xfId="19" builtinId="5"/>
    <cellStyle name="Percent 2" xfId="9" xr:uid="{4D3B56F8-31B2-42EC-9E7D-2652304802C3}"/>
    <cellStyle name="千位分隔 2" xfId="11" xr:uid="{7668A0FE-548F-4ECE-BC83-084E37A541D9}"/>
    <cellStyle name="常规 2" xfId="1" xr:uid="{00000000-0005-0000-0000-000001000000}"/>
    <cellStyle name="常规 2 2" xfId="2" xr:uid="{E00AA7B0-D7E6-4B49-9A23-FD3E496ABA55}"/>
    <cellStyle name="常规 3" xfId="4" xr:uid="{B29EAF1C-4C30-4F5B-9BB4-E219737C1E4D}"/>
    <cellStyle name="常规 4" xfId="6" xr:uid="{B7702077-692A-49E8-9D96-AC31CDF3AEBB}"/>
    <cellStyle name="常规 4 2" xfId="10" xr:uid="{E83C3A75-AB40-4594-8BEA-992C0090D45A}"/>
    <cellStyle name="常规 4 2 2" xfId="12" xr:uid="{BA60A91F-B937-492B-9368-090673743216}"/>
    <cellStyle name="常规 4 2 2 2" xfId="16" xr:uid="{5015637F-55AF-4F82-B0D2-16A88EF24513}"/>
    <cellStyle name="常规 4 2 2 3" xfId="18" xr:uid="{FC5DBEC0-3E30-40B6-B2F0-B961FF697994}"/>
    <cellStyle name="常规 4 2 3" xfId="13" xr:uid="{21050BC9-447E-407D-85F6-D800091661F1}"/>
    <cellStyle name="常规 4 2 4" xfId="15" xr:uid="{88B35517-C585-437A-8B54-7AF9BC2926D5}"/>
    <cellStyle name="常规 4 2 5" xfId="17" xr:uid="{8DCD9FF6-B0F5-4835-8976-446947382355}"/>
    <cellStyle name="常规 4 2 6" xfId="20" xr:uid="{C3C960E2-08C6-4C14-9045-C8B474907293}"/>
    <cellStyle name="常规 5" xfId="7" xr:uid="{E3548CBB-C592-45C6-9419-2B3B1294306C}"/>
    <cellStyle name="百分比 2" xfId="5" xr:uid="{295382FF-9EFF-4A51-9BA1-50CB1D99B947}"/>
    <cellStyle name="百分比 2 2" xfId="3" xr:uid="{194BB322-8EB0-4123-895F-3B0315260B31}"/>
  </cellStyles>
  <dxfs count="0"/>
  <tableStyles count="0" defaultTableStyle="TableStyleMedium2" defaultPivotStyle="PivotStyleLight16"/>
  <colors>
    <mruColors>
      <color rgb="FF9900CC"/>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volatileDependencies.xml><?xml version="1.0" encoding="utf-8"?>
<volTypes xmlns="http://schemas.openxmlformats.org/spreadsheetml/2006/main">
  <volType type="realTimeData">
    <main first="tws.twsrtdserverctrl">
      <tp t="s">
        <v>TwsRtdServer error: Cannot connect to TWS.</v>
        <stp/>
        <stp>TLT/SMART/OPT/20250801/C/90/USD</stp>
        <stp>ModelImpliedVol</stp>
        <tr r="U21" s="84"/>
      </tp>
      <tp t="s">
        <v>TwsRtdServer error: Cannot connect to TWS.</v>
        <stp/>
        <stp>TLT/SMART/OPT/20250801/P/90/USD</stp>
        <stp>ModelImpliedVol</stp>
        <tr r="U28" s="88"/>
        <tr r="U19" s="88"/>
      </tp>
      <tp t="s">
        <v>TwsRtdServer error: Cannot connect to TWS.</v>
        <stp/>
        <stp>TLT/SMART/OPT/20250801/C/86/USD</stp>
        <stp>ModelImpliedVol</stp>
        <tr r="U14" s="86"/>
      </tp>
      <tp t="s">
        <v>TwsRtdServer error: Cannot connect to TWS.</v>
        <stp/>
        <stp>TLT/SMART/OPT/20250801/P/86/USD</stp>
        <stp>ModelImpliedVol</stp>
        <tr r="U20" s="85"/>
        <tr r="U14" s="85"/>
      </tp>
      <tp t="s">
        <v>TwsRtdServer error: Cannot connect to TWS.</v>
        <stp/>
        <stp>TLT/SMART/OPT/20250801/P/85/USD</stp>
        <stp>ModelImpliedVol</stp>
        <tr r="U22" s="86"/>
      </tp>
      <tp t="s">
        <v>TwsRtdServer error: Cannot connect to TWS.</v>
        <stp/>
        <stp>TLT/SMART/OPT/20250801/P/82/USD</stp>
        <stp>ModelImpliedVol</stp>
        <tr r="U21" s="85"/>
      </tp>
      <tp t="s">
        <v>TwsRtdServer error: Cannot connect to TWS.</v>
        <stp/>
        <stp>TLT/SMART/OPT/20250801/C/83/USD</stp>
        <stp>ModelImpliedVol</stp>
        <tr r="U25" s="88"/>
      </tp>
      <tp t="s">
        <v>TwsRtdServer error: Cannot connect to TWS.</v>
        <stp/>
        <stp>TLT/SMART/OPT/20250801/P/83/USD</stp>
        <stp>ModelImpliedVol</stp>
        <tr r="U17" s="88"/>
      </tp>
      <tp t="s">
        <v>TwsRtdServer error: Cannot connect to TWS.</v>
        <stp/>
        <stp>TLT</stp>
        <stp>Last</stp>
        <tr r="R21" s="85"/>
        <tr r="R21" s="86"/>
        <tr r="R21" s="84"/>
        <tr r="R14" s="85"/>
        <tr r="R15" s="87"/>
        <tr r="R27" s="88"/>
        <tr r="R25" s="88"/>
        <tr r="R26" s="88"/>
        <tr r="R20" s="85"/>
        <tr r="R14" s="86"/>
        <tr r="R22" s="86"/>
        <tr r="R14" s="87"/>
        <tr r="R17" s="88"/>
        <tr r="R18" s="88"/>
        <tr r="R19" s="88"/>
        <tr r="R28" s="88"/>
        <tr r="R15" s="86"/>
        <tr r="R14" s="84"/>
        <tr r="R20" s="84"/>
      </tp>
      <tp t="s">
        <v>TwsRtdServer error: Cannot connect to TWS.</v>
        <stp/>
        <stp>TLT/SMART/OPT/20250801/P/90/USD</stp>
        <stp>ModelDelta</stp>
        <tr r="Q28" s="88"/>
        <tr r="Q19" s="88"/>
      </tp>
      <tp t="s">
        <v>TwsRtdServer error: Cannot connect to TWS.</v>
        <stp/>
        <stp>TLT/SMART/OPT/20250801/P/86/USD</stp>
        <stp>ModelDelta</stp>
        <tr r="Q14" s="85"/>
        <tr r="Q20" s="85"/>
      </tp>
      <tp t="s">
        <v>TwsRtdServer error: Cannot connect to TWS.</v>
        <stp/>
        <stp>TLT/SMART/OPT/20250801/P/85/USD</stp>
        <stp>ModelDelta</stp>
        <tr r="Q22" s="86"/>
      </tp>
      <tp t="s">
        <v>TwsRtdServer error: Cannot connect to TWS.</v>
        <stp/>
        <stp>TLT/SMART/OPT/20250801/P/83/USD</stp>
        <stp>ModelDelta</stp>
        <tr r="Q17" s="88"/>
      </tp>
      <tp t="s">
        <v>TwsRtdServer error: Cannot connect to TWS.</v>
        <stp/>
        <stp>TLT/SMART/OPT/20250801/P/82/USD</stp>
        <stp>ModelDelta</stp>
        <tr r="Q21" s="85"/>
      </tp>
      <tp t="s">
        <v>TwsRtdServer error: Cannot connect to TWS.</v>
        <stp/>
        <stp>TLT/SMART/OPT/20250801/P/86.5/USD</stp>
        <stp>ModelDelta</stp>
        <tr r="Q27" s="88"/>
        <tr r="Q15" s="87"/>
        <tr r="Q18" s="88"/>
      </tp>
      <tp t="s">
        <v>TwsRtdServer error: Cannot connect to TWS.</v>
        <stp/>
        <stp>TLT/SMART/OPT/20250801/C/86.5/USD</stp>
        <stp>ModelDelta</stp>
        <tr r="Q14" s="84"/>
        <tr r="Q26" s="88"/>
        <tr r="Q20" s="84"/>
        <tr r="Q15" s="86"/>
        <tr r="Q14" s="87"/>
      </tp>
      <tp t="s">
        <v>TwsRtdServer error: Cannot connect to TWS.</v>
        <stp/>
        <stp>TLT/SMART/OPT/20250801/P/85.5/USD</stp>
        <stp>ModelDelta</stp>
        <tr r="Q21" s="86"/>
      </tp>
      <tp t="s">
        <v>TwsRtdServer error: Cannot connect to TWS.</v>
        <stp/>
        <stp>TLT/SMART/OPT/20250801/P/90/USD</stp>
        <stp>ModelTheta</stp>
        <tr r="V28" s="88"/>
        <tr r="V19" s="88"/>
      </tp>
      <tp t="s">
        <v>TwsRtdServer error: Cannot connect to TWS.</v>
        <stp/>
        <stp>TLT/SMART/OPT/20250801/P/82/USD</stp>
        <stp>ModelTheta</stp>
        <tr r="V21" s="85"/>
      </tp>
      <tp t="s">
        <v>TwsRtdServer error: Cannot connect to TWS.</v>
        <stp/>
        <stp>TLT/SMART/OPT/20250801/P/83/USD</stp>
        <stp>ModelTheta</stp>
        <tr r="V17" s="88"/>
      </tp>
      <tp t="s">
        <v>TwsRtdServer error: Cannot connect to TWS.</v>
        <stp/>
        <stp>TLT/SMART/OPT/20250801/P/86/USD</stp>
        <stp>ModelTheta</stp>
        <tr r="V20" s="85"/>
        <tr r="V14" s="85"/>
      </tp>
      <tp t="s">
        <v>TwsRtdServer error: Cannot connect to TWS.</v>
        <stp/>
        <stp>TLT/SMART/OPT/20250801/P/85/USD</stp>
        <stp>ModelTheta</stp>
        <tr r="V22" s="86"/>
      </tp>
      <tp t="s">
        <v>TwsRtdServer error: Cannot connect to TWS.</v>
        <stp/>
        <stp>TLT/SMART/OPT/20250801/C/86.5/USD</stp>
        <stp>ModelTheta</stp>
        <tr r="V26" s="88"/>
        <tr r="V14" s="87"/>
        <tr r="V20" s="84"/>
        <tr r="V15" s="86"/>
        <tr r="V14" s="84"/>
      </tp>
      <tp t="s">
        <v>TwsRtdServer error: Cannot connect to TWS.</v>
        <stp/>
        <stp>TLT/SMART/OPT/20250801/P/86.5/USD</stp>
        <stp>ModelTheta</stp>
        <tr r="V27" s="88"/>
        <tr r="V15" s="87"/>
        <tr r="V18" s="88"/>
      </tp>
      <tp t="s">
        <v>TwsRtdServer error: Cannot connect to TWS.</v>
        <stp/>
        <stp>TLT/SMART/OPT/20250801/P/85.5/USD</stp>
        <stp>ModelTheta</stp>
        <tr r="V21" s="86"/>
      </tp>
      <tp t="s">
        <v>TwsRtdServer error: Cannot connect to TWS.</v>
        <stp/>
        <stp>TLT/SMART/OPT/20250801/P/85.5/USD</stp>
        <stp>Bid</stp>
        <tr r="L21" s="86"/>
      </tp>
      <tp t="s">
        <v>TwsRtdServer error: Cannot connect to TWS.</v>
        <stp/>
        <stp>TLT/SMART/OPT/20250801/C/86.5/USD</stp>
        <stp>Ask</stp>
        <tr r="L26" s="88"/>
        <tr r="L14" s="84"/>
        <tr r="L15" s="86"/>
        <tr r="L14" s="87"/>
        <tr r="L20" s="84"/>
      </tp>
      <tp t="s">
        <v>TwsRtdServer error: Cannot connect to TWS.</v>
        <stp/>
        <stp>TLT/SMART/OPT/20250801/P/86.5/USD</stp>
        <stp>Ask</stp>
        <tr r="L15" s="87"/>
        <tr r="L27" s="88"/>
        <tr r="L18" s="88"/>
      </tp>
      <tp t="s">
        <v>TwsRtdServer error: Cannot connect to TWS.</v>
        <stp/>
        <stp>TLT/SMART/OPT/20250801/P/86.5/USD</stp>
        <stp>Bid</stp>
        <tr r="L15" s="87"/>
        <tr r="L27" s="88"/>
        <tr r="L18" s="88"/>
      </tp>
      <tp t="s">
        <v>TwsRtdServer error: Cannot connect to TWS.</v>
        <stp/>
        <stp>TLT/SMART/OPT/20250801/C/86.5/USD</stp>
        <stp>Bid</stp>
        <tr r="L26" s="88"/>
        <tr r="L14" s="84"/>
        <tr r="L15" s="86"/>
        <tr r="L14" s="87"/>
        <tr r="L20" s="84"/>
      </tp>
      <tp t="s">
        <v>TwsRtdServer error: Cannot connect to TWS.</v>
        <stp/>
        <stp>TLT/SMART/OPT/20250801/P/85.5/USD</stp>
        <stp>Ask</stp>
        <tr r="L21" s="86"/>
      </tp>
      <tp t="s">
        <v>TwsRtdServer error: Cannot connect to TWS.</v>
        <stp/>
        <stp>TLT/SMART/OPT/20250801/C/90/USD</stp>
        <stp>ModelDelta</stp>
        <tr r="Q21" s="84"/>
      </tp>
      <tp t="s">
        <v>TwsRtdServer error: Cannot connect to TWS.</v>
        <stp/>
        <stp>TLT/SMART/OPT/20250801/C/86/USD</stp>
        <stp>ModelDelta</stp>
        <tr r="Q14" s="86"/>
      </tp>
      <tp t="s">
        <v>TwsRtdServer error: Cannot connect to TWS.</v>
        <stp/>
        <stp>TLT/SMART/OPT/20250801/C/83/USD</stp>
        <stp>ModelDelta</stp>
        <tr r="Q25" s="88"/>
      </tp>
      <tp t="s">
        <v>TwsRtdServer error: Cannot connect to TWS.</v>
        <stp/>
        <stp>TLT/SMART/OPT/20250801/C/90/USD</stp>
        <stp>ModelTheta</stp>
        <tr r="V21" s="84"/>
      </tp>
      <tp t="s">
        <v>TwsRtdServer error: Cannot connect to TWS.</v>
        <stp/>
        <stp>TLT/SMART/OPT/20250801/C/83/USD</stp>
        <stp>ModelTheta</stp>
        <tr r="V25" s="88"/>
      </tp>
      <tp t="s">
        <v>TwsRtdServer error: Cannot connect to TWS.</v>
        <stp/>
        <stp>TLT/SMART/OPT/20250801/C/86/USD</stp>
        <stp>ModelTheta</stp>
        <tr r="V14" s="86"/>
      </tp>
      <tp t="s">
        <v>TwsRtdServer error: Cannot connect to TWS.</v>
        <stp/>
        <stp>TLT/SMART/OPT/20250801/C/86.5/USD</stp>
        <stp>ModelVega</stp>
        <tr r="S14" s="84"/>
        <tr r="S20" s="84"/>
        <tr r="S15" s="86"/>
        <tr r="S26" s="88"/>
        <tr r="S14" s="87"/>
      </tp>
      <tp t="s">
        <v>TwsRtdServer error: Cannot connect to TWS.</v>
        <stp/>
        <stp>TLT/SMART/OPT/20250801/P/86.5/USD</stp>
        <stp>ModelVega</stp>
        <tr r="S18" s="88"/>
        <tr r="S27" s="88"/>
        <tr r="S15" s="87"/>
      </tp>
      <tp t="s">
        <v>TwsRtdServer error: Cannot connect to TWS.</v>
        <stp/>
        <stp>TLT/SMART/OPT/20250801/P/85.5/USD</stp>
        <stp>ModelVega</stp>
        <tr r="S21" s="86"/>
      </tp>
      <tp t="s">
        <v>TwsRtdServer error: Cannot connect to TWS.</v>
        <stp/>
        <stp>TLT/SMART/OPT/20250801/P/82/USD</stp>
        <stp>Bid</stp>
        <tr r="L21" s="85"/>
      </tp>
      <tp t="s">
        <v>TwsRtdServer error: Cannot connect to TWS.</v>
        <stp/>
        <stp>TLT/SMART/OPT/20250801/P/83/USD</stp>
        <stp>Bid</stp>
        <tr r="L17" s="88"/>
      </tp>
      <tp t="s">
        <v>TwsRtdServer error: Cannot connect to TWS.</v>
        <stp/>
        <stp>TLT/SMART/OPT/20250801/C/83/USD</stp>
        <stp>Bid</stp>
        <tr r="L25" s="88"/>
      </tp>
      <tp t="s">
        <v>TwsRtdServer error: Cannot connect to TWS.</v>
        <stp/>
        <stp>TLT/SMART/OPT/20250801/P/86/USD</stp>
        <stp>Bid</stp>
        <tr r="L14" s="85"/>
        <tr r="L20" s="85"/>
      </tp>
      <tp t="s">
        <v>TwsRtdServer error: Cannot connect to TWS.</v>
        <stp/>
        <stp>TLT/SMART/OPT/20250801/C/86/USD</stp>
        <stp>Bid</stp>
        <tr r="L14" s="86"/>
      </tp>
      <tp t="s">
        <v>TwsRtdServer error: Cannot connect to TWS.</v>
        <stp/>
        <stp>TLT/SMART/OPT/20250801/P/85/USD</stp>
        <stp>Bid</stp>
        <tr r="L22" s="86"/>
      </tp>
      <tp t="s">
        <v>TwsRtdServer error: Cannot connect to TWS.</v>
        <stp/>
        <stp>TLT/SMART/OPT/20250801/P/90/USD</stp>
        <stp>Bid</stp>
        <tr r="L28" s="88"/>
        <tr r="L19" s="88"/>
      </tp>
      <tp t="s">
        <v>TwsRtdServer error: Cannot connect to TWS.</v>
        <stp/>
        <stp>TLT/SMART/OPT/20250801/C/90/USD</stp>
        <stp>Bid</stp>
        <tr r="L21" s="84"/>
      </tp>
      <tp t="s">
        <v>TwsRtdServer error: Cannot connect to TWS.</v>
        <stp/>
        <stp>TLT/SMART/OPT/20250801/P/85/USD</stp>
        <stp>Ask</stp>
        <tr r="L22" s="86"/>
      </tp>
      <tp t="s">
        <v>TwsRtdServer error: Cannot connect to TWS.</v>
        <stp/>
        <stp>TLT/SMART/OPT/20250801/P/86/USD</stp>
        <stp>Ask</stp>
        <tr r="L14" s="85"/>
        <tr r="L20" s="85"/>
      </tp>
      <tp t="s">
        <v>TwsRtdServer error: Cannot connect to TWS.</v>
        <stp/>
        <stp>TLT/SMART/OPT/20250801/C/86/USD</stp>
        <stp>Ask</stp>
        <tr r="L14" s="86"/>
      </tp>
      <tp t="s">
        <v>TwsRtdServer error: Cannot connect to TWS.</v>
        <stp/>
        <stp>TLT/SMART/OPT/20250801/P/83/USD</stp>
        <stp>Ask</stp>
        <tr r="L17" s="88"/>
      </tp>
      <tp t="s">
        <v>TwsRtdServer error: Cannot connect to TWS.</v>
        <stp/>
        <stp>TLT/SMART/OPT/20250801/C/83/USD</stp>
        <stp>Ask</stp>
        <tr r="L25" s="88"/>
      </tp>
      <tp t="s">
        <v>TwsRtdServer error: Cannot connect to TWS.</v>
        <stp/>
        <stp>TLT/SMART/OPT/20250801/P/82/USD</stp>
        <stp>Ask</stp>
        <tr r="L21" s="85"/>
      </tp>
      <tp t="s">
        <v>TwsRtdServer error: Cannot connect to TWS.</v>
        <stp/>
        <stp>TLT/SMART/OPT/20250801/P/90/USD</stp>
        <stp>Ask</stp>
        <tr r="L28" s="88"/>
        <tr r="L19" s="88"/>
      </tp>
      <tp t="s">
        <v>TwsRtdServer error: Cannot connect to TWS.</v>
        <stp/>
        <stp>TLT/SMART/OPT/20250801/C/90/USD</stp>
        <stp>Ask</stp>
        <tr r="L21" s="84"/>
      </tp>
      <tp t="s">
        <v>TwsRtdServer error: Cannot connect to TWS.</v>
        <stp/>
        <stp>TLT</stp>
        <stp>OptionHistoricalVol</stp>
        <tr r="T20" s="84"/>
        <tr r="T21" s="85"/>
        <tr r="T15" s="86"/>
        <tr r="T21" s="86"/>
        <tr r="T26" s="88"/>
        <tr r="T28" s="88"/>
        <tr r="T25" s="88"/>
        <tr r="T14" s="84"/>
        <tr r="T21" s="84"/>
        <tr r="T14" s="85"/>
        <tr r="T15" s="87"/>
        <tr r="T27" s="88"/>
        <tr r="T20" s="85"/>
        <tr r="T14" s="86"/>
        <tr r="T22" s="86"/>
        <tr r="T14" s="87"/>
        <tr r="T17" s="88"/>
        <tr r="T18" s="88"/>
        <tr r="T19" s="88"/>
      </tp>
      <tp t="s">
        <v>TwsRtdServer error: Cannot connect to TWS.</v>
        <stp/>
        <stp>TLT/SMART/OPT/20250801/P/86/USD</stp>
        <stp>ModelVega</stp>
        <tr r="S14" s="85"/>
        <tr r="S20" s="85"/>
      </tp>
      <tp t="s">
        <v>TwsRtdServer error: Cannot connect to TWS.</v>
        <stp/>
        <stp>TLT/SMART/OPT/20250801/C/86/USD</stp>
        <stp>ModelVega</stp>
        <tr r="S14" s="86"/>
      </tp>
      <tp t="s">
        <v>TwsRtdServer error: Cannot connect to TWS.</v>
        <stp/>
        <stp>TLT/SMART/OPT/20250801/P/85/USD</stp>
        <stp>ModelVega</stp>
        <tr r="S22" s="86"/>
      </tp>
      <tp t="s">
        <v>TwsRtdServer error: Cannot connect to TWS.</v>
        <stp/>
        <stp>TLT/SMART/OPT/20250801/P/83/USD</stp>
        <stp>ModelVega</stp>
        <tr r="S17" s="88"/>
      </tp>
      <tp t="s">
        <v>TwsRtdServer error: Cannot connect to TWS.</v>
        <stp/>
        <stp>TLT/SMART/OPT/20250801/C/83/USD</stp>
        <stp>ModelVega</stp>
        <tr r="S25" s="88"/>
      </tp>
      <tp t="s">
        <v>TwsRtdServer error: Cannot connect to TWS.</v>
        <stp/>
        <stp>TLT/SMART/OPT/20250801/P/82/USD</stp>
        <stp>ModelVega</stp>
        <tr r="S21" s="85"/>
      </tp>
      <tp t="s">
        <v>TwsRtdServer error: Cannot connect to TWS.</v>
        <stp/>
        <stp>TLT/SMART/OPT/20250801/P/90/USD</stp>
        <stp>ModelVega</stp>
        <tr r="S28" s="88"/>
        <tr r="S19" s="88"/>
      </tp>
      <tp t="s">
        <v>TwsRtdServer error: Cannot connect to TWS.</v>
        <stp/>
        <stp>TLT/SMART/OPT/20250801/C/90/USD</stp>
        <stp>ModelVega</stp>
        <tr r="S21" s="84"/>
      </tp>
      <tp t="s">
        <v>TwsRtdServer error: Cannot connect to TWS.</v>
        <stp/>
        <stp>TLT/SMART/OPT/20250801/P/85.5/USD</stp>
        <stp>ModelImpliedVol</stp>
        <tr r="U21" s="86"/>
      </tp>
      <tp t="s">
        <v>TwsRtdServer error: Cannot connect to TWS.</v>
        <stp/>
        <stp>TLT/SMART/OPT/20250801/P/86.5/USD</stp>
        <stp>ModelImpliedVol</stp>
        <tr r="U27" s="88"/>
        <tr r="U18" s="88"/>
        <tr r="U15" s="87"/>
      </tp>
      <tp t="s">
        <v>TwsRtdServer error: Cannot connect to TWS.</v>
        <stp/>
        <stp>TLT/SMART/OPT/20250801/C/86.5/USD</stp>
        <stp>ModelImpliedVol</stp>
        <tr r="U14" s="87"/>
        <tr r="U26" s="88"/>
        <tr r="U15" s="86"/>
        <tr r="U20" s="84"/>
        <tr r="U14" s="84"/>
      </tp>
    </main>
  </volType>
</volTypes>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volatileDependencies" Target="volatileDependencies.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159C6-0B0B-4C8E-8E68-C90152FE1298}">
  <dimension ref="A1:Z45"/>
  <sheetViews>
    <sheetView tabSelected="1" zoomScaleNormal="100" workbookViewId="0">
      <selection sqref="A1:Z45"/>
    </sheetView>
  </sheetViews>
  <sheetFormatPr defaultRowHeight="14.25"/>
  <sheetData>
    <row r="1" spans="1:26">
      <c r="A1" s="275" t="s">
        <v>68</v>
      </c>
      <c r="B1" s="276"/>
      <c r="C1" s="276"/>
      <c r="D1" s="276"/>
      <c r="E1" s="276"/>
      <c r="F1" s="276"/>
      <c r="G1" s="276"/>
      <c r="H1" s="276"/>
      <c r="I1" s="276"/>
      <c r="J1" s="276"/>
      <c r="K1" s="276"/>
      <c r="L1" s="276"/>
      <c r="M1" s="276"/>
      <c r="N1" s="276"/>
      <c r="O1" s="276"/>
      <c r="P1" s="276"/>
      <c r="Q1" s="276"/>
      <c r="R1" s="276"/>
      <c r="S1" s="276"/>
      <c r="T1" s="276"/>
      <c r="U1" s="276"/>
      <c r="V1" s="276"/>
      <c r="W1" s="276"/>
      <c r="X1" s="276"/>
      <c r="Y1" s="276"/>
      <c r="Z1" s="276"/>
    </row>
    <row r="2" spans="1:26">
      <c r="A2" s="276"/>
      <c r="B2" s="276"/>
      <c r="C2" s="276"/>
      <c r="D2" s="276"/>
      <c r="E2" s="276"/>
      <c r="F2" s="276"/>
      <c r="G2" s="276"/>
      <c r="H2" s="276"/>
      <c r="I2" s="276"/>
      <c r="J2" s="276"/>
      <c r="K2" s="276"/>
      <c r="L2" s="276"/>
      <c r="M2" s="276"/>
      <c r="N2" s="276"/>
      <c r="O2" s="276"/>
      <c r="P2" s="276"/>
      <c r="Q2" s="276"/>
      <c r="R2" s="276"/>
      <c r="S2" s="276"/>
      <c r="T2" s="276"/>
      <c r="U2" s="276"/>
      <c r="V2" s="276"/>
      <c r="W2" s="276"/>
      <c r="X2" s="276"/>
      <c r="Y2" s="276"/>
      <c r="Z2" s="276"/>
    </row>
    <row r="3" spans="1:26">
      <c r="A3" s="276"/>
      <c r="B3" s="276"/>
      <c r="C3" s="276"/>
      <c r="D3" s="276"/>
      <c r="E3" s="276"/>
      <c r="F3" s="276"/>
      <c r="G3" s="276"/>
      <c r="H3" s="276"/>
      <c r="I3" s="276"/>
      <c r="J3" s="276"/>
      <c r="K3" s="276"/>
      <c r="L3" s="276"/>
      <c r="M3" s="276"/>
      <c r="N3" s="276"/>
      <c r="O3" s="276"/>
      <c r="P3" s="276"/>
      <c r="Q3" s="276"/>
      <c r="R3" s="276"/>
      <c r="S3" s="276"/>
      <c r="T3" s="276"/>
      <c r="U3" s="276"/>
      <c r="V3" s="276"/>
      <c r="W3" s="276"/>
      <c r="X3" s="276"/>
      <c r="Y3" s="276"/>
      <c r="Z3" s="276"/>
    </row>
    <row r="4" spans="1:26">
      <c r="A4" s="276"/>
      <c r="B4" s="276"/>
      <c r="C4" s="276"/>
      <c r="D4" s="276"/>
      <c r="E4" s="276"/>
      <c r="F4" s="276"/>
      <c r="G4" s="276"/>
      <c r="H4" s="276"/>
      <c r="I4" s="276"/>
      <c r="J4" s="276"/>
      <c r="K4" s="276"/>
      <c r="L4" s="276"/>
      <c r="M4" s="276"/>
      <c r="N4" s="276"/>
      <c r="O4" s="276"/>
      <c r="P4" s="276"/>
      <c r="Q4" s="276"/>
      <c r="R4" s="276"/>
      <c r="S4" s="276"/>
      <c r="T4" s="276"/>
      <c r="U4" s="276"/>
      <c r="V4" s="276"/>
      <c r="W4" s="276"/>
      <c r="X4" s="276"/>
      <c r="Y4" s="276"/>
      <c r="Z4" s="276"/>
    </row>
    <row r="5" spans="1:26">
      <c r="A5" s="276"/>
      <c r="B5" s="276"/>
      <c r="C5" s="276"/>
      <c r="D5" s="276"/>
      <c r="E5" s="276"/>
      <c r="F5" s="276"/>
      <c r="G5" s="276"/>
      <c r="H5" s="276"/>
      <c r="I5" s="276"/>
      <c r="J5" s="276"/>
      <c r="K5" s="276"/>
      <c r="L5" s="276"/>
      <c r="M5" s="276"/>
      <c r="N5" s="276"/>
      <c r="O5" s="276"/>
      <c r="P5" s="276"/>
      <c r="Q5" s="276"/>
      <c r="R5" s="276"/>
      <c r="S5" s="276"/>
      <c r="T5" s="276"/>
      <c r="U5" s="276"/>
      <c r="V5" s="276"/>
      <c r="W5" s="276"/>
      <c r="X5" s="276"/>
      <c r="Y5" s="276"/>
      <c r="Z5" s="276"/>
    </row>
    <row r="6" spans="1:26">
      <c r="A6" s="276"/>
      <c r="B6" s="276"/>
      <c r="C6" s="276"/>
      <c r="D6" s="276"/>
      <c r="E6" s="276"/>
      <c r="F6" s="276"/>
      <c r="G6" s="276"/>
      <c r="H6" s="276"/>
      <c r="I6" s="276"/>
      <c r="J6" s="276"/>
      <c r="K6" s="276"/>
      <c r="L6" s="276"/>
      <c r="M6" s="276"/>
      <c r="N6" s="276"/>
      <c r="O6" s="276"/>
      <c r="P6" s="276"/>
      <c r="Q6" s="276"/>
      <c r="R6" s="276"/>
      <c r="S6" s="276"/>
      <c r="T6" s="276"/>
      <c r="U6" s="276"/>
      <c r="V6" s="276"/>
      <c r="W6" s="276"/>
      <c r="X6" s="276"/>
      <c r="Y6" s="276"/>
      <c r="Z6" s="276"/>
    </row>
    <row r="7" spans="1:26">
      <c r="A7" s="276"/>
      <c r="B7" s="276"/>
      <c r="C7" s="276"/>
      <c r="D7" s="276"/>
      <c r="E7" s="276"/>
      <c r="F7" s="276"/>
      <c r="G7" s="276"/>
      <c r="H7" s="276"/>
      <c r="I7" s="276"/>
      <c r="J7" s="276"/>
      <c r="K7" s="276"/>
      <c r="L7" s="276"/>
      <c r="M7" s="276"/>
      <c r="N7" s="276"/>
      <c r="O7" s="276"/>
      <c r="P7" s="276"/>
      <c r="Q7" s="276"/>
      <c r="R7" s="276"/>
      <c r="S7" s="276"/>
      <c r="T7" s="276"/>
      <c r="U7" s="276"/>
      <c r="V7" s="276"/>
      <c r="W7" s="276"/>
      <c r="X7" s="276"/>
      <c r="Y7" s="276"/>
      <c r="Z7" s="276"/>
    </row>
    <row r="8" spans="1:26">
      <c r="A8" s="276"/>
      <c r="B8" s="276"/>
      <c r="C8" s="276"/>
      <c r="D8" s="276"/>
      <c r="E8" s="276"/>
      <c r="F8" s="276"/>
      <c r="G8" s="276"/>
      <c r="H8" s="276"/>
      <c r="I8" s="276"/>
      <c r="J8" s="276"/>
      <c r="K8" s="276"/>
      <c r="L8" s="276"/>
      <c r="M8" s="276"/>
      <c r="N8" s="276"/>
      <c r="O8" s="276"/>
      <c r="P8" s="276"/>
      <c r="Q8" s="276"/>
      <c r="R8" s="276"/>
      <c r="S8" s="276"/>
      <c r="T8" s="276"/>
      <c r="U8" s="276"/>
      <c r="V8" s="276"/>
      <c r="W8" s="276"/>
      <c r="X8" s="276"/>
      <c r="Y8" s="276"/>
      <c r="Z8" s="276"/>
    </row>
    <row r="9" spans="1:26">
      <c r="A9" s="276"/>
      <c r="B9" s="276"/>
      <c r="C9" s="276"/>
      <c r="D9" s="276"/>
      <c r="E9" s="276"/>
      <c r="F9" s="276"/>
      <c r="G9" s="276"/>
      <c r="H9" s="276"/>
      <c r="I9" s="276"/>
      <c r="J9" s="276"/>
      <c r="K9" s="276"/>
      <c r="L9" s="276"/>
      <c r="M9" s="276"/>
      <c r="N9" s="276"/>
      <c r="O9" s="276"/>
      <c r="P9" s="276"/>
      <c r="Q9" s="276"/>
      <c r="R9" s="276"/>
      <c r="S9" s="276"/>
      <c r="T9" s="276"/>
      <c r="U9" s="276"/>
      <c r="V9" s="276"/>
      <c r="W9" s="276"/>
      <c r="X9" s="276"/>
      <c r="Y9" s="276"/>
      <c r="Z9" s="276"/>
    </row>
    <row r="10" spans="1:26">
      <c r="A10" s="276"/>
      <c r="B10" s="276"/>
      <c r="C10" s="276"/>
      <c r="D10" s="276"/>
      <c r="E10" s="276"/>
      <c r="F10" s="276"/>
      <c r="G10" s="276"/>
      <c r="H10" s="276"/>
      <c r="I10" s="276"/>
      <c r="J10" s="276"/>
      <c r="K10" s="276"/>
      <c r="L10" s="276"/>
      <c r="M10" s="276"/>
      <c r="N10" s="276"/>
      <c r="O10" s="276"/>
      <c r="P10" s="276"/>
      <c r="Q10" s="276"/>
      <c r="R10" s="276"/>
      <c r="S10" s="276"/>
      <c r="T10" s="276"/>
      <c r="U10" s="276"/>
      <c r="V10" s="276"/>
      <c r="W10" s="276"/>
      <c r="X10" s="276"/>
      <c r="Y10" s="276"/>
      <c r="Z10" s="276"/>
    </row>
    <row r="11" spans="1:26">
      <c r="A11" s="276"/>
      <c r="B11" s="276"/>
      <c r="C11" s="276"/>
      <c r="D11" s="276"/>
      <c r="E11" s="276"/>
      <c r="F11" s="276"/>
      <c r="G11" s="276"/>
      <c r="H11" s="276"/>
      <c r="I11" s="276"/>
      <c r="J11" s="276"/>
      <c r="K11" s="276"/>
      <c r="L11" s="276"/>
      <c r="M11" s="276"/>
      <c r="N11" s="276"/>
      <c r="O11" s="276"/>
      <c r="P11" s="276"/>
      <c r="Q11" s="276"/>
      <c r="R11" s="276"/>
      <c r="S11" s="276"/>
      <c r="T11" s="276"/>
      <c r="U11" s="276"/>
      <c r="V11" s="276"/>
      <c r="W11" s="276"/>
      <c r="X11" s="276"/>
      <c r="Y11" s="276"/>
      <c r="Z11" s="276"/>
    </row>
    <row r="12" spans="1:26">
      <c r="A12" s="276"/>
      <c r="B12" s="276"/>
      <c r="C12" s="276"/>
      <c r="D12" s="276"/>
      <c r="E12" s="276"/>
      <c r="F12" s="276"/>
      <c r="G12" s="276"/>
      <c r="H12" s="276"/>
      <c r="I12" s="276"/>
      <c r="J12" s="276"/>
      <c r="K12" s="276"/>
      <c r="L12" s="276"/>
      <c r="M12" s="276"/>
      <c r="N12" s="276"/>
      <c r="O12" s="276"/>
      <c r="P12" s="276"/>
      <c r="Q12" s="276"/>
      <c r="R12" s="276"/>
      <c r="S12" s="276"/>
      <c r="T12" s="276"/>
      <c r="U12" s="276"/>
      <c r="V12" s="276"/>
      <c r="W12" s="276"/>
      <c r="X12" s="276"/>
      <c r="Y12" s="276"/>
      <c r="Z12" s="276"/>
    </row>
    <row r="13" spans="1:26">
      <c r="A13" s="276"/>
      <c r="B13" s="276"/>
      <c r="C13" s="276"/>
      <c r="D13" s="276"/>
      <c r="E13" s="276"/>
      <c r="F13" s="276"/>
      <c r="G13" s="276"/>
      <c r="H13" s="276"/>
      <c r="I13" s="276"/>
      <c r="J13" s="276"/>
      <c r="K13" s="276"/>
      <c r="L13" s="276"/>
      <c r="M13" s="276"/>
      <c r="N13" s="276"/>
      <c r="O13" s="276"/>
      <c r="P13" s="276"/>
      <c r="Q13" s="276"/>
      <c r="R13" s="276"/>
      <c r="S13" s="276"/>
      <c r="T13" s="276"/>
      <c r="U13" s="276"/>
      <c r="V13" s="276"/>
      <c r="W13" s="276"/>
      <c r="X13" s="276"/>
      <c r="Y13" s="276"/>
      <c r="Z13" s="276"/>
    </row>
    <row r="14" spans="1:26">
      <c r="A14" s="276"/>
      <c r="B14" s="276"/>
      <c r="C14" s="276"/>
      <c r="D14" s="276"/>
      <c r="E14" s="276"/>
      <c r="F14" s="276"/>
      <c r="G14" s="276"/>
      <c r="H14" s="276"/>
      <c r="I14" s="276"/>
      <c r="J14" s="276"/>
      <c r="K14" s="276"/>
      <c r="L14" s="276"/>
      <c r="M14" s="276"/>
      <c r="N14" s="276"/>
      <c r="O14" s="276"/>
      <c r="P14" s="276"/>
      <c r="Q14" s="276"/>
      <c r="R14" s="276"/>
      <c r="S14" s="276"/>
      <c r="T14" s="276"/>
      <c r="U14" s="276"/>
      <c r="V14" s="276"/>
      <c r="W14" s="276"/>
      <c r="X14" s="276"/>
      <c r="Y14" s="276"/>
      <c r="Z14" s="276"/>
    </row>
    <row r="15" spans="1:26">
      <c r="A15" s="276"/>
      <c r="B15" s="276"/>
      <c r="C15" s="276"/>
      <c r="D15" s="276"/>
      <c r="E15" s="276"/>
      <c r="F15" s="276"/>
      <c r="G15" s="276"/>
      <c r="H15" s="276"/>
      <c r="I15" s="276"/>
      <c r="J15" s="276"/>
      <c r="K15" s="276"/>
      <c r="L15" s="276"/>
      <c r="M15" s="276"/>
      <c r="N15" s="276"/>
      <c r="O15" s="276"/>
      <c r="P15" s="276"/>
      <c r="Q15" s="276"/>
      <c r="R15" s="276"/>
      <c r="S15" s="276"/>
      <c r="T15" s="276"/>
      <c r="U15" s="276"/>
      <c r="V15" s="276"/>
      <c r="W15" s="276"/>
      <c r="X15" s="276"/>
      <c r="Y15" s="276"/>
      <c r="Z15" s="276"/>
    </row>
    <row r="16" spans="1:26">
      <c r="A16" s="276"/>
      <c r="B16" s="276"/>
      <c r="C16" s="276"/>
      <c r="D16" s="276"/>
      <c r="E16" s="276"/>
      <c r="F16" s="276"/>
      <c r="G16" s="276"/>
      <c r="H16" s="276"/>
      <c r="I16" s="276"/>
      <c r="J16" s="276"/>
      <c r="K16" s="276"/>
      <c r="L16" s="276"/>
      <c r="M16" s="276"/>
      <c r="N16" s="276"/>
      <c r="O16" s="276"/>
      <c r="P16" s="276"/>
      <c r="Q16" s="276"/>
      <c r="R16" s="276"/>
      <c r="S16" s="276"/>
      <c r="T16" s="276"/>
      <c r="U16" s="276"/>
      <c r="V16" s="276"/>
      <c r="W16" s="276"/>
      <c r="X16" s="276"/>
      <c r="Y16" s="276"/>
      <c r="Z16" s="276"/>
    </row>
    <row r="17" spans="1:26">
      <c r="A17" s="276"/>
      <c r="B17" s="276"/>
      <c r="C17" s="276"/>
      <c r="D17" s="276"/>
      <c r="E17" s="276"/>
      <c r="F17" s="276"/>
      <c r="G17" s="276"/>
      <c r="H17" s="276"/>
      <c r="I17" s="276"/>
      <c r="J17" s="276"/>
      <c r="K17" s="276"/>
      <c r="L17" s="276"/>
      <c r="M17" s="276"/>
      <c r="N17" s="276"/>
      <c r="O17" s="276"/>
      <c r="P17" s="276"/>
      <c r="Q17" s="276"/>
      <c r="R17" s="276"/>
      <c r="S17" s="276"/>
      <c r="T17" s="276"/>
      <c r="U17" s="276"/>
      <c r="V17" s="276"/>
      <c r="W17" s="276"/>
      <c r="X17" s="276"/>
      <c r="Y17" s="276"/>
      <c r="Z17" s="276"/>
    </row>
    <row r="18" spans="1:26">
      <c r="A18" s="276"/>
      <c r="B18" s="276"/>
      <c r="C18" s="276"/>
      <c r="D18" s="276"/>
      <c r="E18" s="276"/>
      <c r="F18" s="276"/>
      <c r="G18" s="276"/>
      <c r="H18" s="276"/>
      <c r="I18" s="276"/>
      <c r="J18" s="276"/>
      <c r="K18" s="276"/>
      <c r="L18" s="276"/>
      <c r="M18" s="276"/>
      <c r="N18" s="276"/>
      <c r="O18" s="276"/>
      <c r="P18" s="276"/>
      <c r="Q18" s="276"/>
      <c r="R18" s="276"/>
      <c r="S18" s="276"/>
      <c r="T18" s="276"/>
      <c r="U18" s="276"/>
      <c r="V18" s="276"/>
      <c r="W18" s="276"/>
      <c r="X18" s="276"/>
      <c r="Y18" s="276"/>
      <c r="Z18" s="276"/>
    </row>
    <row r="19" spans="1:26">
      <c r="A19" s="276"/>
      <c r="B19" s="276"/>
      <c r="C19" s="276"/>
      <c r="D19" s="276"/>
      <c r="E19" s="276"/>
      <c r="F19" s="276"/>
      <c r="G19" s="276"/>
      <c r="H19" s="276"/>
      <c r="I19" s="276"/>
      <c r="J19" s="276"/>
      <c r="K19" s="276"/>
      <c r="L19" s="276"/>
      <c r="M19" s="276"/>
      <c r="N19" s="276"/>
      <c r="O19" s="276"/>
      <c r="P19" s="276"/>
      <c r="Q19" s="276"/>
      <c r="R19" s="276"/>
      <c r="S19" s="276"/>
      <c r="T19" s="276"/>
      <c r="U19" s="276"/>
      <c r="V19" s="276"/>
      <c r="W19" s="276"/>
      <c r="X19" s="276"/>
      <c r="Y19" s="276"/>
      <c r="Z19" s="276"/>
    </row>
    <row r="20" spans="1:26">
      <c r="A20" s="276"/>
      <c r="B20" s="276"/>
      <c r="C20" s="276"/>
      <c r="D20" s="276"/>
      <c r="E20" s="276"/>
      <c r="F20" s="276"/>
      <c r="G20" s="276"/>
      <c r="H20" s="276"/>
      <c r="I20" s="276"/>
      <c r="J20" s="276"/>
      <c r="K20" s="276"/>
      <c r="L20" s="276"/>
      <c r="M20" s="276"/>
      <c r="N20" s="276"/>
      <c r="O20" s="276"/>
      <c r="P20" s="276"/>
      <c r="Q20" s="276"/>
      <c r="R20" s="276"/>
      <c r="S20" s="276"/>
      <c r="T20" s="276"/>
      <c r="U20" s="276"/>
      <c r="V20" s="276"/>
      <c r="W20" s="276"/>
      <c r="X20" s="276"/>
      <c r="Y20" s="276"/>
      <c r="Z20" s="276"/>
    </row>
    <row r="21" spans="1:26">
      <c r="A21" s="276"/>
      <c r="B21" s="276"/>
      <c r="C21" s="276"/>
      <c r="D21" s="276"/>
      <c r="E21" s="276"/>
      <c r="F21" s="276"/>
      <c r="G21" s="276"/>
      <c r="H21" s="276"/>
      <c r="I21" s="276"/>
      <c r="J21" s="276"/>
      <c r="K21" s="276"/>
      <c r="L21" s="276"/>
      <c r="M21" s="276"/>
      <c r="N21" s="276"/>
      <c r="O21" s="276"/>
      <c r="P21" s="276"/>
      <c r="Q21" s="276"/>
      <c r="R21" s="276"/>
      <c r="S21" s="276"/>
      <c r="T21" s="276"/>
      <c r="U21" s="276"/>
      <c r="V21" s="276"/>
      <c r="W21" s="276"/>
      <c r="X21" s="276"/>
      <c r="Y21" s="276"/>
      <c r="Z21" s="276"/>
    </row>
    <row r="22" spans="1:26">
      <c r="A22" s="276"/>
      <c r="B22" s="276"/>
      <c r="C22" s="276"/>
      <c r="D22" s="276"/>
      <c r="E22" s="276"/>
      <c r="F22" s="276"/>
      <c r="G22" s="276"/>
      <c r="H22" s="276"/>
      <c r="I22" s="276"/>
      <c r="J22" s="276"/>
      <c r="K22" s="276"/>
      <c r="L22" s="276"/>
      <c r="M22" s="276"/>
      <c r="N22" s="276"/>
      <c r="O22" s="276"/>
      <c r="P22" s="276"/>
      <c r="Q22" s="276"/>
      <c r="R22" s="276"/>
      <c r="S22" s="276"/>
      <c r="T22" s="276"/>
      <c r="U22" s="276"/>
      <c r="V22" s="276"/>
      <c r="W22" s="276"/>
      <c r="X22" s="276"/>
      <c r="Y22" s="276"/>
      <c r="Z22" s="276"/>
    </row>
    <row r="23" spans="1:26">
      <c r="A23" s="276"/>
      <c r="B23" s="276"/>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row>
    <row r="24" spans="1:26">
      <c r="A24" s="276"/>
      <c r="B24" s="276"/>
      <c r="C24" s="276"/>
      <c r="D24" s="276"/>
      <c r="E24" s="276"/>
      <c r="F24" s="276"/>
      <c r="G24" s="276"/>
      <c r="H24" s="276"/>
      <c r="I24" s="276"/>
      <c r="J24" s="276"/>
      <c r="K24" s="276"/>
      <c r="L24" s="276"/>
      <c r="M24" s="276"/>
      <c r="N24" s="276"/>
      <c r="O24" s="276"/>
      <c r="P24" s="276"/>
      <c r="Q24" s="276"/>
      <c r="R24" s="276"/>
      <c r="S24" s="276"/>
      <c r="T24" s="276"/>
      <c r="U24" s="276"/>
      <c r="V24" s="276"/>
      <c r="W24" s="276"/>
      <c r="X24" s="276"/>
      <c r="Y24" s="276"/>
      <c r="Z24" s="276"/>
    </row>
    <row r="25" spans="1:26">
      <c r="A25" s="276"/>
      <c r="B25" s="276"/>
      <c r="C25" s="276"/>
      <c r="D25" s="276"/>
      <c r="E25" s="276"/>
      <c r="F25" s="276"/>
      <c r="G25" s="276"/>
      <c r="H25" s="276"/>
      <c r="I25" s="276"/>
      <c r="J25" s="276"/>
      <c r="K25" s="276"/>
      <c r="L25" s="276"/>
      <c r="M25" s="276"/>
      <c r="N25" s="276"/>
      <c r="O25" s="276"/>
      <c r="P25" s="276"/>
      <c r="Q25" s="276"/>
      <c r="R25" s="276"/>
      <c r="S25" s="276"/>
      <c r="T25" s="276"/>
      <c r="U25" s="276"/>
      <c r="V25" s="276"/>
      <c r="W25" s="276"/>
      <c r="X25" s="276"/>
      <c r="Y25" s="276"/>
      <c r="Z25" s="276"/>
    </row>
    <row r="26" spans="1:26">
      <c r="A26" s="276"/>
      <c r="B26" s="276"/>
      <c r="C26" s="276"/>
      <c r="D26" s="276"/>
      <c r="E26" s="276"/>
      <c r="F26" s="276"/>
      <c r="G26" s="276"/>
      <c r="H26" s="276"/>
      <c r="I26" s="276"/>
      <c r="J26" s="276"/>
      <c r="K26" s="276"/>
      <c r="L26" s="276"/>
      <c r="M26" s="276"/>
      <c r="N26" s="276"/>
      <c r="O26" s="276"/>
      <c r="P26" s="276"/>
      <c r="Q26" s="276"/>
      <c r="R26" s="276"/>
      <c r="S26" s="276"/>
      <c r="T26" s="276"/>
      <c r="U26" s="276"/>
      <c r="V26" s="276"/>
      <c r="W26" s="276"/>
      <c r="X26" s="276"/>
      <c r="Y26" s="276"/>
      <c r="Z26" s="276"/>
    </row>
    <row r="27" spans="1:26">
      <c r="A27" s="276"/>
      <c r="B27" s="276"/>
      <c r="C27" s="276"/>
      <c r="D27" s="276"/>
      <c r="E27" s="276"/>
      <c r="F27" s="276"/>
      <c r="G27" s="276"/>
      <c r="H27" s="276"/>
      <c r="I27" s="276"/>
      <c r="J27" s="276"/>
      <c r="K27" s="276"/>
      <c r="L27" s="276"/>
      <c r="M27" s="276"/>
      <c r="N27" s="276"/>
      <c r="O27" s="276"/>
      <c r="P27" s="276"/>
      <c r="Q27" s="276"/>
      <c r="R27" s="276"/>
      <c r="S27" s="276"/>
      <c r="T27" s="276"/>
      <c r="U27" s="276"/>
      <c r="V27" s="276"/>
      <c r="W27" s="276"/>
      <c r="X27" s="276"/>
      <c r="Y27" s="276"/>
      <c r="Z27" s="276"/>
    </row>
    <row r="28" spans="1:26">
      <c r="A28" s="276"/>
      <c r="B28" s="276"/>
      <c r="C28" s="276"/>
      <c r="D28" s="276"/>
      <c r="E28" s="276"/>
      <c r="F28" s="276"/>
      <c r="G28" s="276"/>
      <c r="H28" s="276"/>
      <c r="I28" s="276"/>
      <c r="J28" s="276"/>
      <c r="K28" s="276"/>
      <c r="L28" s="276"/>
      <c r="M28" s="276"/>
      <c r="N28" s="276"/>
      <c r="O28" s="276"/>
      <c r="P28" s="276"/>
      <c r="Q28" s="276"/>
      <c r="R28" s="276"/>
      <c r="S28" s="276"/>
      <c r="T28" s="276"/>
      <c r="U28" s="276"/>
      <c r="V28" s="276"/>
      <c r="W28" s="276"/>
      <c r="X28" s="276"/>
      <c r="Y28" s="276"/>
      <c r="Z28" s="276"/>
    </row>
    <row r="29" spans="1:26">
      <c r="A29" s="276"/>
      <c r="B29" s="276"/>
      <c r="C29" s="276"/>
      <c r="D29" s="276"/>
      <c r="E29" s="276"/>
      <c r="F29" s="276"/>
      <c r="G29" s="276"/>
      <c r="H29" s="276"/>
      <c r="I29" s="276"/>
      <c r="J29" s="276"/>
      <c r="K29" s="276"/>
      <c r="L29" s="276"/>
      <c r="M29" s="276"/>
      <c r="N29" s="276"/>
      <c r="O29" s="276"/>
      <c r="P29" s="276"/>
      <c r="Q29" s="276"/>
      <c r="R29" s="276"/>
      <c r="S29" s="276"/>
      <c r="T29" s="276"/>
      <c r="U29" s="276"/>
      <c r="V29" s="276"/>
      <c r="W29" s="276"/>
      <c r="X29" s="276"/>
      <c r="Y29" s="276"/>
      <c r="Z29" s="276"/>
    </row>
    <row r="30" spans="1:26">
      <c r="A30" s="276"/>
      <c r="B30" s="276"/>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row>
    <row r="31" spans="1:26">
      <c r="A31" s="276"/>
      <c r="B31" s="276"/>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row>
    <row r="32" spans="1:26">
      <c r="A32" s="276"/>
      <c r="B32" s="276"/>
      <c r="C32" s="276"/>
      <c r="D32" s="276"/>
      <c r="E32" s="276"/>
      <c r="F32" s="276"/>
      <c r="G32" s="276"/>
      <c r="H32" s="276"/>
      <c r="I32" s="276"/>
      <c r="J32" s="276"/>
      <c r="K32" s="276"/>
      <c r="L32" s="276"/>
      <c r="M32" s="276"/>
      <c r="N32" s="276"/>
      <c r="O32" s="276"/>
      <c r="P32" s="276"/>
      <c r="Q32" s="276"/>
      <c r="R32" s="276"/>
      <c r="S32" s="276"/>
      <c r="T32" s="276"/>
      <c r="U32" s="276"/>
      <c r="V32" s="276"/>
      <c r="W32" s="276"/>
      <c r="X32" s="276"/>
      <c r="Y32" s="276"/>
      <c r="Z32" s="276"/>
    </row>
    <row r="33" spans="1:26">
      <c r="A33" s="276"/>
      <c r="B33" s="276"/>
      <c r="C33" s="276"/>
      <c r="D33" s="276"/>
      <c r="E33" s="276"/>
      <c r="F33" s="276"/>
      <c r="G33" s="276"/>
      <c r="H33" s="276"/>
      <c r="I33" s="276"/>
      <c r="J33" s="276"/>
      <c r="K33" s="276"/>
      <c r="L33" s="276"/>
      <c r="M33" s="276"/>
      <c r="N33" s="276"/>
      <c r="O33" s="276"/>
      <c r="P33" s="276"/>
      <c r="Q33" s="276"/>
      <c r="R33" s="276"/>
      <c r="S33" s="276"/>
      <c r="T33" s="276"/>
      <c r="U33" s="276"/>
      <c r="V33" s="276"/>
      <c r="W33" s="276"/>
      <c r="X33" s="276"/>
      <c r="Y33" s="276"/>
      <c r="Z33" s="276"/>
    </row>
    <row r="34" spans="1:26">
      <c r="A34" s="276"/>
      <c r="B34" s="276"/>
      <c r="C34" s="276"/>
      <c r="D34" s="276"/>
      <c r="E34" s="276"/>
      <c r="F34" s="276"/>
      <c r="G34" s="276"/>
      <c r="H34" s="276"/>
      <c r="I34" s="276"/>
      <c r="J34" s="276"/>
      <c r="K34" s="276"/>
      <c r="L34" s="276"/>
      <c r="M34" s="276"/>
      <c r="N34" s="276"/>
      <c r="O34" s="276"/>
      <c r="P34" s="276"/>
      <c r="Q34" s="276"/>
      <c r="R34" s="276"/>
      <c r="S34" s="276"/>
      <c r="T34" s="276"/>
      <c r="U34" s="276"/>
      <c r="V34" s="276"/>
      <c r="W34" s="276"/>
      <c r="X34" s="276"/>
      <c r="Y34" s="276"/>
      <c r="Z34" s="276"/>
    </row>
    <row r="35" spans="1:26">
      <c r="A35" s="276"/>
      <c r="B35" s="276"/>
      <c r="C35" s="276"/>
      <c r="D35" s="276"/>
      <c r="E35" s="276"/>
      <c r="F35" s="276"/>
      <c r="G35" s="276"/>
      <c r="H35" s="276"/>
      <c r="I35" s="276"/>
      <c r="J35" s="276"/>
      <c r="K35" s="276"/>
      <c r="L35" s="276"/>
      <c r="M35" s="276"/>
      <c r="N35" s="276"/>
      <c r="O35" s="276"/>
      <c r="P35" s="276"/>
      <c r="Q35" s="276"/>
      <c r="R35" s="276"/>
      <c r="S35" s="276"/>
      <c r="T35" s="276"/>
      <c r="U35" s="276"/>
      <c r="V35" s="276"/>
      <c r="W35" s="276"/>
      <c r="X35" s="276"/>
      <c r="Y35" s="276"/>
      <c r="Z35" s="276"/>
    </row>
    <row r="36" spans="1:26">
      <c r="A36" s="276"/>
      <c r="B36" s="276"/>
      <c r="C36" s="276"/>
      <c r="D36" s="276"/>
      <c r="E36" s="276"/>
      <c r="F36" s="276"/>
      <c r="G36" s="276"/>
      <c r="H36" s="276"/>
      <c r="I36" s="276"/>
      <c r="J36" s="276"/>
      <c r="K36" s="276"/>
      <c r="L36" s="276"/>
      <c r="M36" s="276"/>
      <c r="N36" s="276"/>
      <c r="O36" s="276"/>
      <c r="P36" s="276"/>
      <c r="Q36" s="276"/>
      <c r="R36" s="276"/>
      <c r="S36" s="276"/>
      <c r="T36" s="276"/>
      <c r="U36" s="276"/>
      <c r="V36" s="276"/>
      <c r="W36" s="276"/>
      <c r="X36" s="276"/>
      <c r="Y36" s="276"/>
      <c r="Z36" s="276"/>
    </row>
    <row r="37" spans="1:26">
      <c r="A37" s="276"/>
      <c r="B37" s="276"/>
      <c r="C37" s="276"/>
      <c r="D37" s="276"/>
      <c r="E37" s="276"/>
      <c r="F37" s="276"/>
      <c r="G37" s="276"/>
      <c r="H37" s="276"/>
      <c r="I37" s="276"/>
      <c r="J37" s="276"/>
      <c r="K37" s="276"/>
      <c r="L37" s="276"/>
      <c r="M37" s="276"/>
      <c r="N37" s="276"/>
      <c r="O37" s="276"/>
      <c r="P37" s="276"/>
      <c r="Q37" s="276"/>
      <c r="R37" s="276"/>
      <c r="S37" s="276"/>
      <c r="T37" s="276"/>
      <c r="U37" s="276"/>
      <c r="V37" s="276"/>
      <c r="W37" s="276"/>
      <c r="X37" s="276"/>
      <c r="Y37" s="276"/>
      <c r="Z37" s="276"/>
    </row>
    <row r="38" spans="1:26">
      <c r="A38" s="276"/>
      <c r="B38" s="276"/>
      <c r="C38" s="276"/>
      <c r="D38" s="276"/>
      <c r="E38" s="276"/>
      <c r="F38" s="276"/>
      <c r="G38" s="276"/>
      <c r="H38" s="276"/>
      <c r="I38" s="276"/>
      <c r="J38" s="276"/>
      <c r="K38" s="276"/>
      <c r="L38" s="276"/>
      <c r="M38" s="276"/>
      <c r="N38" s="276"/>
      <c r="O38" s="276"/>
      <c r="P38" s="276"/>
      <c r="Q38" s="276"/>
      <c r="R38" s="276"/>
      <c r="S38" s="276"/>
      <c r="T38" s="276"/>
      <c r="U38" s="276"/>
      <c r="V38" s="276"/>
      <c r="W38" s="276"/>
      <c r="X38" s="276"/>
      <c r="Y38" s="276"/>
      <c r="Z38" s="276"/>
    </row>
    <row r="39" spans="1:26">
      <c r="A39" s="276"/>
      <c r="B39" s="276"/>
      <c r="C39" s="276"/>
      <c r="D39" s="276"/>
      <c r="E39" s="276"/>
      <c r="F39" s="276"/>
      <c r="G39" s="276"/>
      <c r="H39" s="276"/>
      <c r="I39" s="276"/>
      <c r="J39" s="276"/>
      <c r="K39" s="276"/>
      <c r="L39" s="276"/>
      <c r="M39" s="276"/>
      <c r="N39" s="276"/>
      <c r="O39" s="276"/>
      <c r="P39" s="276"/>
      <c r="Q39" s="276"/>
      <c r="R39" s="276"/>
      <c r="S39" s="276"/>
      <c r="T39" s="276"/>
      <c r="U39" s="276"/>
      <c r="V39" s="276"/>
      <c r="W39" s="276"/>
      <c r="X39" s="276"/>
      <c r="Y39" s="276"/>
      <c r="Z39" s="276"/>
    </row>
    <row r="40" spans="1:26">
      <c r="A40" s="276"/>
      <c r="B40" s="276"/>
      <c r="C40" s="276"/>
      <c r="D40" s="276"/>
      <c r="E40" s="276"/>
      <c r="F40" s="276"/>
      <c r="G40" s="276"/>
      <c r="H40" s="276"/>
      <c r="I40" s="276"/>
      <c r="J40" s="276"/>
      <c r="K40" s="276"/>
      <c r="L40" s="276"/>
      <c r="M40" s="276"/>
      <c r="N40" s="276"/>
      <c r="O40" s="276"/>
      <c r="P40" s="276"/>
      <c r="Q40" s="276"/>
      <c r="R40" s="276"/>
      <c r="S40" s="276"/>
      <c r="T40" s="276"/>
      <c r="U40" s="276"/>
      <c r="V40" s="276"/>
      <c r="W40" s="276"/>
      <c r="X40" s="276"/>
      <c r="Y40" s="276"/>
      <c r="Z40" s="276"/>
    </row>
    <row r="41" spans="1:26">
      <c r="A41" s="276"/>
      <c r="B41" s="276"/>
      <c r="C41" s="276"/>
      <c r="D41" s="276"/>
      <c r="E41" s="276"/>
      <c r="F41" s="276"/>
      <c r="G41" s="276"/>
      <c r="H41" s="276"/>
      <c r="I41" s="276"/>
      <c r="J41" s="276"/>
      <c r="K41" s="276"/>
      <c r="L41" s="276"/>
      <c r="M41" s="276"/>
      <c r="N41" s="276"/>
      <c r="O41" s="276"/>
      <c r="P41" s="276"/>
      <c r="Q41" s="276"/>
      <c r="R41" s="276"/>
      <c r="S41" s="276"/>
      <c r="T41" s="276"/>
      <c r="U41" s="276"/>
      <c r="V41" s="276"/>
      <c r="W41" s="276"/>
      <c r="X41" s="276"/>
      <c r="Y41" s="276"/>
      <c r="Z41" s="276"/>
    </row>
    <row r="42" spans="1:26">
      <c r="A42" s="276"/>
      <c r="B42" s="276"/>
      <c r="C42" s="276"/>
      <c r="D42" s="276"/>
      <c r="E42" s="276"/>
      <c r="F42" s="276"/>
      <c r="G42" s="276"/>
      <c r="H42" s="276"/>
      <c r="I42" s="276"/>
      <c r="J42" s="276"/>
      <c r="K42" s="276"/>
      <c r="L42" s="276"/>
      <c r="M42" s="276"/>
      <c r="N42" s="276"/>
      <c r="O42" s="276"/>
      <c r="P42" s="276"/>
      <c r="Q42" s="276"/>
      <c r="R42" s="276"/>
      <c r="S42" s="276"/>
      <c r="T42" s="276"/>
      <c r="U42" s="276"/>
      <c r="V42" s="276"/>
      <c r="W42" s="276"/>
      <c r="X42" s="276"/>
      <c r="Y42" s="276"/>
      <c r="Z42" s="276"/>
    </row>
    <row r="43" spans="1:26">
      <c r="A43" s="276"/>
      <c r="B43" s="276"/>
      <c r="C43" s="276"/>
      <c r="D43" s="276"/>
      <c r="E43" s="276"/>
      <c r="F43" s="276"/>
      <c r="G43" s="276"/>
      <c r="H43" s="276"/>
      <c r="I43" s="276"/>
      <c r="J43" s="276"/>
      <c r="K43" s="276"/>
      <c r="L43" s="276"/>
      <c r="M43" s="276"/>
      <c r="N43" s="276"/>
      <c r="O43" s="276"/>
      <c r="P43" s="276"/>
      <c r="Q43" s="276"/>
      <c r="R43" s="276"/>
      <c r="S43" s="276"/>
      <c r="T43" s="276"/>
      <c r="U43" s="276"/>
      <c r="V43" s="276"/>
      <c r="W43" s="276"/>
      <c r="X43" s="276"/>
      <c r="Y43" s="276"/>
      <c r="Z43" s="276"/>
    </row>
    <row r="44" spans="1:26">
      <c r="A44" s="276"/>
      <c r="B44" s="276"/>
      <c r="C44" s="276"/>
      <c r="D44" s="276"/>
      <c r="E44" s="276"/>
      <c r="F44" s="276"/>
      <c r="G44" s="276"/>
      <c r="H44" s="276"/>
      <c r="I44" s="276"/>
      <c r="J44" s="276"/>
      <c r="K44" s="276"/>
      <c r="L44" s="276"/>
      <c r="M44" s="276"/>
      <c r="N44" s="276"/>
      <c r="O44" s="276"/>
      <c r="P44" s="276"/>
      <c r="Q44" s="276"/>
      <c r="R44" s="276"/>
      <c r="S44" s="276"/>
      <c r="T44" s="276"/>
      <c r="U44" s="276"/>
      <c r="V44" s="276"/>
      <c r="W44" s="276"/>
      <c r="X44" s="276"/>
      <c r="Y44" s="276"/>
      <c r="Z44" s="276"/>
    </row>
    <row r="45" spans="1:26">
      <c r="A45" s="276"/>
      <c r="B45" s="276"/>
      <c r="C45" s="276"/>
      <c r="D45" s="276"/>
      <c r="E45" s="276"/>
      <c r="F45" s="276"/>
      <c r="G45" s="276"/>
      <c r="H45" s="276"/>
      <c r="I45" s="276"/>
      <c r="J45" s="276"/>
      <c r="K45" s="276"/>
      <c r="L45" s="276"/>
      <c r="M45" s="276"/>
      <c r="N45" s="276"/>
      <c r="O45" s="276"/>
      <c r="P45" s="276"/>
      <c r="Q45" s="276"/>
      <c r="R45" s="276"/>
      <c r="S45" s="276"/>
      <c r="T45" s="276"/>
      <c r="U45" s="276"/>
      <c r="V45" s="276"/>
      <c r="W45" s="276"/>
      <c r="X45" s="276"/>
      <c r="Y45" s="276"/>
      <c r="Z45" s="276"/>
    </row>
  </sheetData>
  <sheetProtection algorithmName="SHA-512" hashValue="w+RKLC4SGtqCU2O7h5uuzrI5XHzawF/YTPQeUlrVxmUcfPJ1hsfBkjAsT4xK1W32SFBko0RRcmuXVti3jfbpLQ==" saltValue="L9HPXbJ1i58Tpmf5Jm34ew==" spinCount="100000" sheet="1" objects="1" scenarios="1" selectLockedCells="1"/>
  <mergeCells count="1">
    <mergeCell ref="A1:Z4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D6DF5-41FF-43EE-8F01-6688584BF4AD}">
  <sheetPr>
    <tabColor theme="9"/>
  </sheetPr>
  <dimension ref="A1:AG23"/>
  <sheetViews>
    <sheetView zoomScale="90" zoomScaleNormal="90" workbookViewId="0">
      <pane xSplit="7" ySplit="8" topLeftCell="H9" activePane="bottomRight" state="frozen"/>
      <selection activeCell="A2" sqref="A2"/>
      <selection pane="topRight" activeCell="H2" sqref="H2"/>
      <selection pane="bottomLeft" activeCell="A9" sqref="A9"/>
      <selection pane="bottomRight" activeCell="B13" sqref="B13"/>
    </sheetView>
  </sheetViews>
  <sheetFormatPr defaultColWidth="9" defaultRowHeight="15"/>
  <cols>
    <col min="1" max="1" width="17.25" style="38" bestFit="1" customWidth="1"/>
    <col min="2" max="3" width="9.375" style="39" customWidth="1"/>
    <col min="4" max="4" width="18.125" style="40" customWidth="1"/>
    <col min="5" max="5" width="14.125" style="39" customWidth="1"/>
    <col min="6" max="10" width="9.375" style="39" customWidth="1"/>
    <col min="11" max="11" width="25" style="41" customWidth="1"/>
    <col min="12" max="15" width="9.375" style="42" customWidth="1"/>
    <col min="16" max="16" width="9.375" style="43" customWidth="1"/>
    <col min="17" max="23" width="9.375" style="42" customWidth="1"/>
    <col min="24" max="24" width="9.375" style="39" customWidth="1"/>
    <col min="25" max="25" width="13.875" style="39" customWidth="1"/>
    <col min="26" max="26" width="15.875" style="38" customWidth="1"/>
    <col min="27" max="27" width="9.5" style="38" customWidth="1"/>
    <col min="28" max="28" width="15.75" style="38" customWidth="1"/>
    <col min="29" max="29" width="10.75" style="38" customWidth="1"/>
    <col min="30" max="30" width="13.25" style="38" bestFit="1" customWidth="1"/>
    <col min="31" max="31" width="15.875" style="38" customWidth="1"/>
    <col min="32" max="32" width="9.375" style="38" customWidth="1"/>
    <col min="33" max="33" width="15.875" style="38" customWidth="1"/>
    <col min="34" max="16384" width="9" style="38"/>
  </cols>
  <sheetData>
    <row r="1" spans="1:33" hidden="1">
      <c r="A1" s="44" t="s">
        <v>34</v>
      </c>
    </row>
    <row r="3" spans="1:33">
      <c r="A3" s="45" t="s">
        <v>45</v>
      </c>
      <c r="B3" s="45"/>
    </row>
    <row r="4" spans="1:33" s="48" customFormat="1">
      <c r="A4" s="46">
        <f ca="1">NOW()</f>
        <v>45868.150765856481</v>
      </c>
      <c r="B4" s="47"/>
      <c r="D4" s="49"/>
      <c r="K4" s="50"/>
      <c r="L4" s="277" t="s">
        <v>12</v>
      </c>
      <c r="M4" s="277"/>
      <c r="N4" s="277"/>
      <c r="O4" s="277"/>
      <c r="P4" s="277"/>
      <c r="Q4" s="51"/>
      <c r="R4" s="51"/>
      <c r="S4" s="51"/>
      <c r="T4" s="51"/>
      <c r="U4" s="51"/>
      <c r="V4" s="51"/>
      <c r="W4" s="51"/>
      <c r="Y4" s="277" t="s">
        <v>13</v>
      </c>
      <c r="Z4" s="277"/>
      <c r="AA4" s="45"/>
      <c r="AB4" s="277" t="s">
        <v>14</v>
      </c>
      <c r="AC4" s="277"/>
      <c r="AD4" s="277"/>
      <c r="AE4" s="277"/>
      <c r="AF4" s="277"/>
      <c r="AG4" s="277"/>
    </row>
    <row r="5" spans="1:33" s="48" customFormat="1" ht="14.25" customHeight="1">
      <c r="B5" s="278" t="s">
        <v>15</v>
      </c>
      <c r="C5" s="278" t="s">
        <v>16</v>
      </c>
      <c r="D5" s="278" t="s">
        <v>17</v>
      </c>
      <c r="E5" s="278"/>
      <c r="F5" s="278" t="s">
        <v>18</v>
      </c>
      <c r="G5" s="278" t="s">
        <v>8</v>
      </c>
      <c r="H5" s="278" t="s">
        <v>19</v>
      </c>
      <c r="I5" s="278" t="s">
        <v>20</v>
      </c>
      <c r="J5" s="278" t="s">
        <v>21</v>
      </c>
      <c r="K5" s="280" t="s">
        <v>35</v>
      </c>
      <c r="L5" s="281" t="s">
        <v>22</v>
      </c>
      <c r="M5" s="282" t="s">
        <v>23</v>
      </c>
      <c r="N5" s="282" t="s">
        <v>24</v>
      </c>
      <c r="O5" s="282" t="s">
        <v>25</v>
      </c>
      <c r="P5" s="282" t="s">
        <v>26</v>
      </c>
      <c r="Q5" s="278" t="s">
        <v>36</v>
      </c>
      <c r="R5" s="284" t="s">
        <v>27</v>
      </c>
      <c r="S5" s="278" t="s">
        <v>10</v>
      </c>
      <c r="T5" s="278" t="s">
        <v>28</v>
      </c>
      <c r="U5" s="278"/>
      <c r="V5" s="278" t="s">
        <v>9</v>
      </c>
      <c r="W5" s="284" t="s">
        <v>29</v>
      </c>
      <c r="Y5" s="281" t="s">
        <v>30</v>
      </c>
      <c r="Z5" s="281" t="s">
        <v>31</v>
      </c>
      <c r="AB5" s="281" t="s">
        <v>36</v>
      </c>
      <c r="AC5" s="281" t="s">
        <v>10</v>
      </c>
      <c r="AD5" s="281"/>
      <c r="AE5" s="281" t="s">
        <v>9</v>
      </c>
      <c r="AF5" s="281" t="s">
        <v>32</v>
      </c>
      <c r="AG5" s="281"/>
    </row>
    <row r="6" spans="1:33" s="48" customFormat="1">
      <c r="B6" s="279"/>
      <c r="C6" s="279"/>
      <c r="D6" s="279"/>
      <c r="E6" s="279"/>
      <c r="F6" s="279"/>
      <c r="G6" s="279"/>
      <c r="H6" s="279"/>
      <c r="I6" s="279"/>
      <c r="J6" s="279"/>
      <c r="K6" s="279"/>
      <c r="L6" s="278"/>
      <c r="M6" s="283"/>
      <c r="N6" s="283"/>
      <c r="O6" s="283"/>
      <c r="P6" s="283"/>
      <c r="Q6" s="278"/>
      <c r="R6" s="278"/>
      <c r="S6" s="278"/>
      <c r="T6" s="48" t="s">
        <v>30</v>
      </c>
      <c r="U6" s="48" t="s">
        <v>31</v>
      </c>
      <c r="V6" s="278"/>
      <c r="W6" s="278"/>
      <c r="Y6" s="278"/>
      <c r="Z6" s="278"/>
      <c r="AB6" s="278"/>
      <c r="AC6" s="48" t="s">
        <v>30</v>
      </c>
      <c r="AD6" s="48" t="s">
        <v>31</v>
      </c>
      <c r="AE6" s="278"/>
      <c r="AF6" s="48" t="s">
        <v>30</v>
      </c>
      <c r="AG6" s="48" t="s">
        <v>31</v>
      </c>
    </row>
    <row r="7" spans="1:33" s="52" customFormat="1">
      <c r="C7" s="53"/>
      <c r="D7" s="54"/>
      <c r="K7" s="55"/>
      <c r="L7" s="52" t="s">
        <v>37</v>
      </c>
      <c r="M7" s="56"/>
      <c r="N7" s="56"/>
      <c r="O7" s="56"/>
      <c r="P7" s="57"/>
      <c r="Q7" s="52" t="s">
        <v>38</v>
      </c>
      <c r="R7" s="52" t="s">
        <v>1</v>
      </c>
      <c r="S7" s="52" t="s">
        <v>39</v>
      </c>
      <c r="T7" s="52" t="s">
        <v>40</v>
      </c>
      <c r="U7" s="52" t="s">
        <v>41</v>
      </c>
      <c r="V7" s="52" t="s">
        <v>42</v>
      </c>
      <c r="W7" s="56"/>
    </row>
    <row r="8" spans="1:33" s="53" customFormat="1">
      <c r="D8" s="54"/>
      <c r="K8" s="55"/>
      <c r="L8" s="52" t="s">
        <v>33</v>
      </c>
      <c r="M8" s="58"/>
      <c r="N8" s="58"/>
      <c r="O8" s="58"/>
      <c r="P8" s="59"/>
      <c r="Q8" s="58"/>
      <c r="R8" s="58"/>
      <c r="S8" s="58"/>
      <c r="T8" s="58"/>
      <c r="U8" s="58"/>
      <c r="V8" s="58"/>
      <c r="W8" s="58"/>
    </row>
    <row r="9" spans="1:33" s="48" customFormat="1">
      <c r="D9" s="49"/>
      <c r="K9" s="50"/>
      <c r="L9" s="60"/>
      <c r="M9" s="51"/>
      <c r="N9" s="51"/>
      <c r="O9" s="51"/>
      <c r="P9" s="61"/>
      <c r="Q9" s="51"/>
      <c r="R9" s="51"/>
      <c r="S9" s="51"/>
      <c r="T9" s="51"/>
      <c r="U9" s="51"/>
      <c r="V9" s="51"/>
      <c r="W9" s="51"/>
    </row>
    <row r="10" spans="1:33">
      <c r="E10" s="62"/>
      <c r="G10" s="63"/>
      <c r="H10" s="63"/>
      <c r="K10" s="64"/>
      <c r="L10" s="65"/>
      <c r="M10" s="65"/>
      <c r="O10" s="65"/>
      <c r="Q10" s="66"/>
      <c r="R10" s="65"/>
      <c r="S10" s="66"/>
      <c r="T10" s="66"/>
      <c r="U10" s="66"/>
      <c r="V10" s="66"/>
      <c r="W10" s="67"/>
      <c r="X10" s="42"/>
      <c r="Y10" s="1"/>
      <c r="Z10" s="68"/>
      <c r="AA10" s="68"/>
      <c r="AB10" s="6"/>
      <c r="AC10" s="6"/>
      <c r="AD10" s="6"/>
      <c r="AE10" s="6"/>
      <c r="AF10" s="6"/>
      <c r="AG10" s="6"/>
    </row>
    <row r="11" spans="1:33">
      <c r="A11" s="39" t="s">
        <v>46</v>
      </c>
      <c r="E11" s="62"/>
      <c r="G11" s="63"/>
      <c r="H11" s="63"/>
      <c r="K11" s="64"/>
      <c r="L11" s="65"/>
      <c r="M11" s="65"/>
      <c r="O11" s="65"/>
      <c r="Q11" s="66"/>
      <c r="R11" s="65"/>
      <c r="S11" s="66"/>
      <c r="T11" s="66"/>
      <c r="U11" s="66"/>
      <c r="V11" s="66"/>
      <c r="W11" s="67"/>
      <c r="X11" s="42"/>
      <c r="Y11" s="1"/>
      <c r="Z11" s="68"/>
      <c r="AA11" s="68"/>
      <c r="AB11" s="6"/>
      <c r="AC11" s="6"/>
      <c r="AD11" s="6"/>
      <c r="AE11" s="6"/>
      <c r="AF11" s="6"/>
      <c r="AG11" s="6"/>
    </row>
    <row r="12" spans="1:33" s="79" customFormat="1">
      <c r="A12" s="69"/>
      <c r="B12" s="69"/>
      <c r="C12" s="69"/>
      <c r="D12" s="70"/>
      <c r="E12" s="71"/>
      <c r="F12" s="72"/>
      <c r="G12" s="72"/>
      <c r="H12" s="72"/>
      <c r="I12" s="69"/>
      <c r="J12" s="69"/>
      <c r="K12" s="73"/>
      <c r="L12" s="74"/>
      <c r="M12" s="74"/>
      <c r="N12" s="74"/>
      <c r="O12" s="74"/>
      <c r="P12" s="75"/>
      <c r="Q12" s="74"/>
      <c r="R12" s="76"/>
      <c r="S12" s="77"/>
      <c r="T12" s="74"/>
      <c r="U12" s="77"/>
      <c r="V12" s="74"/>
      <c r="W12" s="78"/>
      <c r="X12" s="74"/>
      <c r="Y12" s="74"/>
      <c r="Z12" s="2"/>
      <c r="AA12" s="2"/>
      <c r="AB12" s="2"/>
      <c r="AC12" s="2"/>
      <c r="AD12" s="2"/>
      <c r="AE12" s="2"/>
      <c r="AF12" s="2"/>
      <c r="AG12" s="2"/>
    </row>
    <row r="13" spans="1:33" s="92" customFormat="1">
      <c r="A13" s="80"/>
      <c r="B13" s="105" t="s">
        <v>63</v>
      </c>
      <c r="C13" s="81" t="s">
        <v>43</v>
      </c>
      <c r="D13" s="82"/>
      <c r="E13" s="83"/>
      <c r="F13" s="84"/>
      <c r="G13" s="84"/>
      <c r="H13" s="84"/>
      <c r="I13" s="81"/>
      <c r="J13" s="81"/>
      <c r="K13" s="85"/>
      <c r="L13" s="86"/>
      <c r="M13" s="86" t="str">
        <f>IF(M15&gt;0, (#REF!-F14)/M15-1, "")</f>
        <v/>
      </c>
      <c r="N13" s="87"/>
      <c r="O13" s="87"/>
      <c r="P13" s="88"/>
      <c r="Q13" s="89"/>
      <c r="R13" s="90"/>
      <c r="S13" s="89"/>
      <c r="T13" s="89"/>
      <c r="U13" s="89"/>
      <c r="V13" s="89"/>
      <c r="W13" s="87"/>
      <c r="X13" s="87"/>
      <c r="Y13" s="87"/>
      <c r="Z13" s="91"/>
      <c r="AA13" s="91"/>
      <c r="AB13" s="91"/>
      <c r="AC13" s="91"/>
      <c r="AD13" s="91"/>
      <c r="AE13" s="91"/>
      <c r="AF13" s="91"/>
      <c r="AG13" s="91"/>
    </row>
    <row r="14" spans="1:33" s="92" customFormat="1">
      <c r="A14" s="80"/>
      <c r="B14" s="80"/>
      <c r="C14" s="80" t="s">
        <v>3</v>
      </c>
      <c r="D14" s="7">
        <v>45870</v>
      </c>
      <c r="E14" s="8" t="s">
        <v>69</v>
      </c>
      <c r="F14" s="9" t="s">
        <v>71</v>
      </c>
      <c r="G14" s="93" t="s">
        <v>0</v>
      </c>
      <c r="H14" s="93" t="s">
        <v>4</v>
      </c>
      <c r="I14" s="80" t="s">
        <v>5</v>
      </c>
      <c r="J14" s="80" t="s">
        <v>6</v>
      </c>
      <c r="K14" s="94" t="str">
        <f>B$13&amp;"/"&amp;I14&amp;"/"&amp;C14&amp;"/"&amp;E14&amp;"/"&amp;G14&amp;"/"&amp;F14&amp;"/"&amp;J14</f>
        <v>TLT/SMART/OPT/20250801/C/86.5/USD</v>
      </c>
      <c r="L14" s="95" t="e">
        <f>(RTD($A$1,,$K14,$L$7)+RTD($A$1,,$K14,$L$8))/2</f>
        <v>#VALUE!</v>
      </c>
      <c r="M14" s="10"/>
      <c r="N14" s="11"/>
      <c r="O14" s="96" t="e">
        <f>L14*N14*H14</f>
        <v>#VALUE!</v>
      </c>
      <c r="P14" s="97" t="e">
        <f>O14-M14*H14*N14</f>
        <v>#VALUE!</v>
      </c>
      <c r="Q14" s="98" t="str">
        <f>RTD($A$1,,$K14,$Q$7)</f>
        <v>TwsRtdServer error: Cannot connect to TWS.</v>
      </c>
      <c r="R14" s="96" t="str">
        <f>RTD($A$1,,B13,$R$7)</f>
        <v>TwsRtdServer error: Cannot connect to TWS.</v>
      </c>
      <c r="S14" s="98" t="str">
        <f>RTD($A$1,,$K14,$S$7)</f>
        <v>TwsRtdServer error: Cannot connect to TWS.</v>
      </c>
      <c r="T14" s="98" t="str">
        <f>RTD($A$1,,$B13,$T$7)</f>
        <v>TwsRtdServer error: Cannot connect to TWS.</v>
      </c>
      <c r="U14" s="98" t="str">
        <f>RTD($A$1,,$K14,$U$7)</f>
        <v>TwsRtdServer error: Cannot connect to TWS.</v>
      </c>
      <c r="V14" s="98" t="str">
        <f>RTD($A$1,,$K14,$V$7)</f>
        <v>TwsRtdServer error: Cannot connect to TWS.</v>
      </c>
      <c r="W14" s="99">
        <f ca="1">IF($D14&gt;0, $D14-TODAY(), 0)</f>
        <v>2</v>
      </c>
      <c r="X14" s="100"/>
      <c r="Y14" s="3" t="e">
        <f>$N14*$H14*Q14*R14*T14</f>
        <v>#VALUE!</v>
      </c>
      <c r="Z14" s="101" t="e">
        <f>$N14*$H14*Q14*R14*U14</f>
        <v>#VALUE!</v>
      </c>
      <c r="AA14" s="101"/>
      <c r="AB14" s="4" t="e">
        <f>$N14*$H14*Q14*R14</f>
        <v>#VALUE!</v>
      </c>
      <c r="AC14" s="4"/>
      <c r="AD14" s="4" t="e">
        <f>$N14*$H14*$S14*(U14*100)</f>
        <v>#VALUE!</v>
      </c>
      <c r="AE14" s="4" t="e">
        <f ca="1">$N14*$H14*$V14*W14</f>
        <v>#VALUE!</v>
      </c>
      <c r="AF14" s="4"/>
      <c r="AG14" s="4" t="e">
        <f>IF($V$8="ON", $AB14+AD14-$AE14, $AB14+AD14)</f>
        <v>#VALUE!</v>
      </c>
    </row>
    <row r="15" spans="1:33" s="25" customFormat="1">
      <c r="A15" s="26"/>
      <c r="B15" s="26"/>
      <c r="C15" s="26"/>
      <c r="D15" s="27"/>
      <c r="E15" s="28"/>
      <c r="F15" s="29" t="str">
        <f>IF(N14&gt;0, IF(M14&gt;0, F14+M14, F14+L14), "")</f>
        <v/>
      </c>
      <c r="G15" s="30"/>
      <c r="H15" s="30"/>
      <c r="I15" s="26"/>
      <c r="J15" s="26"/>
      <c r="K15" s="31"/>
      <c r="L15" s="104"/>
      <c r="M15" s="104"/>
      <c r="N15" s="32"/>
      <c r="O15" s="33" t="str">
        <f>IF(N14&gt;0, IF(M14&gt;0, M14*N14*H14, L14*N14*H14), "")</f>
        <v/>
      </c>
      <c r="P15" s="34"/>
      <c r="Q15" s="32"/>
      <c r="R15" s="35"/>
      <c r="S15" s="36"/>
      <c r="T15" s="32"/>
      <c r="U15" s="36"/>
      <c r="V15" s="32"/>
      <c r="W15" s="37"/>
      <c r="X15" s="32"/>
      <c r="Y15" s="32"/>
      <c r="Z15" s="5"/>
      <c r="AA15" s="5"/>
      <c r="AB15" s="5"/>
      <c r="AC15" s="5"/>
      <c r="AD15" s="5"/>
      <c r="AE15" s="5"/>
      <c r="AF15" s="5"/>
      <c r="AG15" s="5"/>
    </row>
    <row r="16" spans="1:33" s="25" customFormat="1">
      <c r="A16" s="26"/>
      <c r="B16" s="26"/>
      <c r="C16" s="26"/>
      <c r="D16" s="27"/>
      <c r="E16" s="28"/>
      <c r="F16" s="29"/>
      <c r="G16" s="30"/>
      <c r="H16" s="30"/>
      <c r="I16" s="26"/>
      <c r="J16" s="26"/>
      <c r="K16" s="31"/>
      <c r="L16" s="104"/>
      <c r="M16" s="104"/>
      <c r="N16" s="32"/>
      <c r="O16" s="33"/>
      <c r="P16" s="34"/>
      <c r="Q16" s="32"/>
      <c r="R16" s="35"/>
      <c r="S16" s="36"/>
      <c r="T16" s="32"/>
      <c r="U16" s="36"/>
      <c r="V16" s="32"/>
      <c r="W16" s="37"/>
      <c r="X16" s="32"/>
      <c r="Y16" s="32"/>
      <c r="Z16" s="5"/>
      <c r="AA16" s="5"/>
      <c r="AB16" s="5"/>
      <c r="AC16" s="5"/>
      <c r="AD16" s="5"/>
      <c r="AE16" s="5"/>
      <c r="AF16" s="5"/>
      <c r="AG16" s="5"/>
    </row>
    <row r="17" spans="1:33" s="25" customFormat="1">
      <c r="A17" s="39" t="s">
        <v>47</v>
      </c>
      <c r="B17" s="26"/>
      <c r="C17" s="26"/>
      <c r="D17" s="27"/>
      <c r="E17" s="28"/>
      <c r="F17" s="29"/>
      <c r="G17" s="30"/>
      <c r="H17" s="30"/>
      <c r="I17" s="26"/>
      <c r="J17" s="26"/>
      <c r="K17" s="31"/>
      <c r="L17" s="104"/>
      <c r="M17" s="104"/>
      <c r="N17" s="32"/>
      <c r="O17" s="33"/>
      <c r="P17" s="34"/>
      <c r="Q17" s="32"/>
      <c r="R17" s="35"/>
      <c r="S17" s="36"/>
      <c r="T17" s="32"/>
      <c r="U17" s="36"/>
      <c r="V17" s="32"/>
      <c r="W17" s="37"/>
      <c r="X17" s="32"/>
      <c r="Y17" s="32"/>
      <c r="Z17" s="5"/>
      <c r="AA17" s="5"/>
      <c r="AB17" s="5"/>
      <c r="AC17" s="5"/>
      <c r="AD17" s="5"/>
      <c r="AE17" s="5"/>
      <c r="AF17" s="5"/>
      <c r="AG17" s="5"/>
    </row>
    <row r="18" spans="1:33" s="25" customFormat="1">
      <c r="B18" s="26"/>
      <c r="C18" s="26"/>
      <c r="D18" s="27"/>
      <c r="E18" s="28"/>
      <c r="F18" s="29"/>
      <c r="G18" s="30"/>
      <c r="H18" s="30"/>
      <c r="I18" s="26"/>
      <c r="J18" s="26"/>
      <c r="K18" s="31"/>
      <c r="L18" s="32"/>
      <c r="M18" s="33"/>
      <c r="N18" s="32"/>
      <c r="O18" s="33"/>
      <c r="P18" s="34"/>
      <c r="Q18" s="32"/>
      <c r="R18" s="35"/>
      <c r="S18" s="36"/>
      <c r="T18" s="32"/>
      <c r="U18" s="36"/>
      <c r="V18" s="32"/>
      <c r="W18" s="37"/>
      <c r="X18" s="32"/>
      <c r="Y18" s="32"/>
      <c r="Z18" s="5"/>
      <c r="AA18" s="5"/>
      <c r="AB18" s="5"/>
      <c r="AC18" s="5"/>
      <c r="AD18" s="5"/>
      <c r="AE18" s="5"/>
      <c r="AF18" s="5"/>
      <c r="AG18" s="5"/>
    </row>
    <row r="19" spans="1:33" s="92" customFormat="1">
      <c r="A19" s="100"/>
      <c r="B19" s="105" t="s">
        <v>63</v>
      </c>
      <c r="C19" s="81" t="s">
        <v>43</v>
      </c>
      <c r="D19" s="82"/>
      <c r="E19" s="83"/>
      <c r="F19" s="84"/>
      <c r="G19" s="84"/>
      <c r="H19" s="84"/>
      <c r="I19" s="81"/>
      <c r="J19" s="81"/>
      <c r="K19" s="85"/>
      <c r="L19" s="86" t="e">
        <f>(F21-F20)/(L20-L21)-1</f>
        <v>#VALUE!</v>
      </c>
      <c r="M19" s="86" t="str">
        <f>IF(M22&gt;0, (F21-F20)/M22-1, "")</f>
        <v/>
      </c>
      <c r="N19" s="87"/>
      <c r="O19" s="87"/>
      <c r="P19" s="88"/>
      <c r="Q19" s="89"/>
      <c r="R19" s="90"/>
      <c r="S19" s="89"/>
      <c r="T19" s="89"/>
      <c r="U19" s="89"/>
      <c r="V19" s="89"/>
      <c r="W19" s="87"/>
      <c r="X19" s="87"/>
      <c r="Y19" s="87"/>
      <c r="Z19" s="91"/>
      <c r="AA19" s="91"/>
      <c r="AB19" s="91"/>
      <c r="AC19" s="91"/>
      <c r="AD19" s="91"/>
      <c r="AE19" s="91"/>
      <c r="AF19" s="91"/>
      <c r="AG19" s="91"/>
    </row>
    <row r="20" spans="1:33" s="92" customFormat="1">
      <c r="B20" s="80"/>
      <c r="C20" s="80" t="s">
        <v>3</v>
      </c>
      <c r="D20" s="7">
        <v>45870</v>
      </c>
      <c r="E20" s="8" t="s">
        <v>69</v>
      </c>
      <c r="F20" s="9" t="s">
        <v>71</v>
      </c>
      <c r="G20" s="93" t="s">
        <v>0</v>
      </c>
      <c r="H20" s="93" t="s">
        <v>4</v>
      </c>
      <c r="I20" s="80" t="s">
        <v>5</v>
      </c>
      <c r="J20" s="80" t="s">
        <v>6</v>
      </c>
      <c r="K20" s="94" t="str">
        <f>B$19&amp;"/"&amp;I20&amp;"/"&amp;C20&amp;"/"&amp;E20&amp;"/"&amp;G20&amp;"/"&amp;F20&amp;"/"&amp;J20</f>
        <v>TLT/SMART/OPT/20250801/C/86.5/USD</v>
      </c>
      <c r="L20" s="95" t="e">
        <f>(RTD($A$1,,$K20,$L$7)+RTD($A$1,,$K20,$L$8))/2</f>
        <v>#VALUE!</v>
      </c>
      <c r="M20" s="270"/>
      <c r="N20" s="11"/>
      <c r="O20" s="96" t="e">
        <f>L20*N20*H20</f>
        <v>#VALUE!</v>
      </c>
      <c r="P20" s="97" t="e">
        <f>O20-M20*H20*N20</f>
        <v>#VALUE!</v>
      </c>
      <c r="Q20" s="98" t="str">
        <f>RTD($A$1,,$K20,$Q$7)</f>
        <v>TwsRtdServer error: Cannot connect to TWS.</v>
      </c>
      <c r="R20" s="96" t="str">
        <f>RTD($A$1,,B19,$R$7)</f>
        <v>TwsRtdServer error: Cannot connect to TWS.</v>
      </c>
      <c r="S20" s="98" t="str">
        <f>RTD($A$1,,$K20,$S$7)</f>
        <v>TwsRtdServer error: Cannot connect to TWS.</v>
      </c>
      <c r="T20" s="98" t="str">
        <f>RTD($A$1,,$B19,$T$7)</f>
        <v>TwsRtdServer error: Cannot connect to TWS.</v>
      </c>
      <c r="U20" s="98" t="str">
        <f>RTD($A$1,,$K20,$U$7)</f>
        <v>TwsRtdServer error: Cannot connect to TWS.</v>
      </c>
      <c r="V20" s="98" t="str">
        <f>RTD($A$1,,$K20,$V$7)</f>
        <v>TwsRtdServer error: Cannot connect to TWS.</v>
      </c>
      <c r="W20" s="99">
        <f ca="1">IF($D20&gt;0, $D20-TODAY(), 0)</f>
        <v>2</v>
      </c>
      <c r="X20" s="100"/>
      <c r="Y20" s="3" t="e">
        <f>$N20*$H20*Q20*R20*T20</f>
        <v>#VALUE!</v>
      </c>
      <c r="Z20" s="101" t="e">
        <f>$N20*$H20*Q20*R20*U20</f>
        <v>#VALUE!</v>
      </c>
      <c r="AA20" s="101"/>
      <c r="AB20" s="4" t="e">
        <f>$N20*$H20*Q20*R20</f>
        <v>#VALUE!</v>
      </c>
      <c r="AC20" s="4"/>
      <c r="AD20" s="4" t="e">
        <f>$N20*$H20*$S20*(U20*100)</f>
        <v>#VALUE!</v>
      </c>
      <c r="AE20" s="4" t="e">
        <f ca="1">$N20*$H20*$V20*W20</f>
        <v>#VALUE!</v>
      </c>
      <c r="AF20" s="4"/>
      <c r="AG20" s="4" t="e">
        <f>IF($V$8="ON", $AB20+AD20-$AE20, $AB20+AD20)</f>
        <v>#VALUE!</v>
      </c>
    </row>
    <row r="21" spans="1:33" s="92" customFormat="1">
      <c r="B21" s="80"/>
      <c r="C21" s="80" t="s">
        <v>3</v>
      </c>
      <c r="D21" s="102">
        <f>D20</f>
        <v>45870</v>
      </c>
      <c r="E21" s="103" t="str">
        <f>E20</f>
        <v>20250801</v>
      </c>
      <c r="F21" s="9" t="s">
        <v>72</v>
      </c>
      <c r="G21" s="93" t="s">
        <v>0</v>
      </c>
      <c r="H21" s="93" t="s">
        <v>4</v>
      </c>
      <c r="I21" s="80" t="s">
        <v>5</v>
      </c>
      <c r="J21" s="80" t="s">
        <v>6</v>
      </c>
      <c r="K21" s="94" t="str">
        <f>B$19&amp;"/"&amp;I21&amp;"/"&amp;C21&amp;"/"&amp;E21&amp;"/"&amp;G21&amp;"/"&amp;F21&amp;"/"&amp;J21</f>
        <v>TLT/SMART/OPT/20250801/C/90/USD</v>
      </c>
      <c r="L21" s="96" t="e">
        <f>(RTD($A$1,,$K21,$L$7)+RTD($A$1,,$K21,$L$8))/2</f>
        <v>#VALUE!</v>
      </c>
      <c r="M21" s="271"/>
      <c r="N21" s="100">
        <f>N20*(-1)</f>
        <v>0</v>
      </c>
      <c r="O21" s="96" t="e">
        <f>L21*N21*H21</f>
        <v>#VALUE!</v>
      </c>
      <c r="P21" s="97" t="e">
        <f>O21-M21*H21*N21</f>
        <v>#VALUE!</v>
      </c>
      <c r="Q21" s="98" t="str">
        <f>RTD($A$1,,$K21,$Q$7)</f>
        <v>TwsRtdServer error: Cannot connect to TWS.</v>
      </c>
      <c r="R21" s="96" t="str">
        <f>RTD($A$1,,B19,$R$7)</f>
        <v>TwsRtdServer error: Cannot connect to TWS.</v>
      </c>
      <c r="S21" s="98" t="str">
        <f>RTD($A$1,,$K21,$S$7)</f>
        <v>TwsRtdServer error: Cannot connect to TWS.</v>
      </c>
      <c r="T21" s="98" t="str">
        <f>RTD($A$1,,$B19,$T$7)</f>
        <v>TwsRtdServer error: Cannot connect to TWS.</v>
      </c>
      <c r="U21" s="98" t="str">
        <f>RTD($A$1,,$K21,$U$7)</f>
        <v>TwsRtdServer error: Cannot connect to TWS.</v>
      </c>
      <c r="V21" s="98" t="str">
        <f>RTD($A$1,,$K21,$V$7)</f>
        <v>TwsRtdServer error: Cannot connect to TWS.</v>
      </c>
      <c r="W21" s="99">
        <f ca="1">IF($D21&gt;0, $D21-TODAY(), 0)</f>
        <v>2</v>
      </c>
      <c r="X21" s="100"/>
      <c r="Y21" s="3" t="e">
        <f>$N21*$H21*Q21*R21*T21</f>
        <v>#VALUE!</v>
      </c>
      <c r="Z21" s="101" t="e">
        <f>$N21*$H21*Q21*R21*U21</f>
        <v>#VALUE!</v>
      </c>
      <c r="AA21" s="101"/>
      <c r="AB21" s="4" t="e">
        <f>$N21*$H21*Q21*R21</f>
        <v>#VALUE!</v>
      </c>
      <c r="AC21" s="4"/>
      <c r="AD21" s="4" t="e">
        <f>$N21*$H21*$S21*(U21*100)</f>
        <v>#VALUE!</v>
      </c>
      <c r="AE21" s="4" t="e">
        <f ca="1">$N21*$H21*$V21*W21</f>
        <v>#VALUE!</v>
      </c>
      <c r="AF21" s="4"/>
      <c r="AG21" s="4" t="e">
        <f>IF($V$8="ON", $AB21+AD21-$AE21, $AB21+AD21)</f>
        <v>#VALUE!</v>
      </c>
    </row>
    <row r="22" spans="1:33" s="25" customFormat="1">
      <c r="B22" s="26"/>
      <c r="C22" s="26"/>
      <c r="D22" s="27"/>
      <c r="E22" s="28"/>
      <c r="F22" s="29" t="str">
        <f>IF(N20&gt;0, IF(M22&gt;0, F20+M22, F20+L22), "")</f>
        <v/>
      </c>
      <c r="G22" s="30"/>
      <c r="H22" s="30"/>
      <c r="I22" s="26"/>
      <c r="J22" s="26"/>
      <c r="K22" s="31"/>
      <c r="L22" s="104" t="e">
        <f>L20-L21</f>
        <v>#VALUE!</v>
      </c>
      <c r="M22" s="12"/>
      <c r="N22" s="32"/>
      <c r="O22" s="33" t="str">
        <f>IF(N20&gt;0, IF(M22&gt;0, M22*N20*H20, L22*N20*H20), "")</f>
        <v/>
      </c>
      <c r="P22" s="34"/>
      <c r="Q22" s="32"/>
      <c r="R22" s="35"/>
      <c r="S22" s="36"/>
      <c r="T22" s="32"/>
      <c r="U22" s="36"/>
      <c r="V22" s="32"/>
      <c r="W22" s="37"/>
      <c r="X22" s="32"/>
      <c r="Y22" s="32"/>
      <c r="Z22" s="5"/>
      <c r="AA22" s="5"/>
      <c r="AB22" s="5"/>
      <c r="AC22" s="5"/>
      <c r="AD22" s="5"/>
      <c r="AE22" s="5"/>
      <c r="AF22" s="5"/>
      <c r="AG22" s="5"/>
    </row>
    <row r="23" spans="1:33" s="25" customFormat="1">
      <c r="B23" s="26"/>
      <c r="C23" s="26"/>
      <c r="D23" s="27"/>
      <c r="E23" s="28"/>
      <c r="F23" s="29"/>
      <c r="G23" s="30"/>
      <c r="H23" s="30"/>
      <c r="I23" s="26"/>
      <c r="J23" s="26"/>
      <c r="K23" s="31"/>
      <c r="L23" s="32"/>
      <c r="M23" s="33"/>
      <c r="N23" s="32"/>
      <c r="O23" s="33"/>
      <c r="P23" s="34"/>
      <c r="Q23" s="32"/>
      <c r="R23" s="35"/>
      <c r="S23" s="36"/>
      <c r="T23" s="32"/>
      <c r="U23" s="36"/>
      <c r="V23" s="32"/>
      <c r="W23" s="37"/>
      <c r="X23" s="32"/>
      <c r="Y23" s="32"/>
      <c r="Z23" s="5"/>
      <c r="AA23" s="5"/>
      <c r="AB23" s="5"/>
      <c r="AC23" s="5"/>
      <c r="AD23" s="5"/>
      <c r="AE23" s="5"/>
      <c r="AF23" s="5"/>
      <c r="AG23" s="5"/>
    </row>
  </sheetData>
  <sheetProtection algorithmName="SHA-512" hashValue="6VMc0U5eTmxOmtXwtwBVKn1X11fx4ZNHfrI8chqF5RcnLYTdp6outpi8rODDROmo4mYPPUiXCxW65HRauhak4g==" saltValue="7NK/4tlzeojQ1TSWxciFOQ==" spinCount="100000" sheet="1" selectLockedCells="1"/>
  <mergeCells count="29">
    <mergeCell ref="T5:U5"/>
    <mergeCell ref="AF5:AG5"/>
    <mergeCell ref="W5:W6"/>
    <mergeCell ref="Y5:Y6"/>
    <mergeCell ref="Z5:Z6"/>
    <mergeCell ref="AB5:AB6"/>
    <mergeCell ref="AC5:AD5"/>
    <mergeCell ref="AE5:AE6"/>
    <mergeCell ref="O5:O6"/>
    <mergeCell ref="P5:P6"/>
    <mergeCell ref="Q5:Q6"/>
    <mergeCell ref="R5:R6"/>
    <mergeCell ref="S5:S6"/>
    <mergeCell ref="L4:P4"/>
    <mergeCell ref="Y4:Z4"/>
    <mergeCell ref="AB4:AG4"/>
    <mergeCell ref="B5:B6"/>
    <mergeCell ref="C5:C6"/>
    <mergeCell ref="D5:E6"/>
    <mergeCell ref="F5:F6"/>
    <mergeCell ref="G5:G6"/>
    <mergeCell ref="H5:H6"/>
    <mergeCell ref="I5:I6"/>
    <mergeCell ref="V5:V6"/>
    <mergeCell ref="J5:J6"/>
    <mergeCell ref="K5:K6"/>
    <mergeCell ref="L5:L6"/>
    <mergeCell ref="M5:M6"/>
    <mergeCell ref="N5:N6"/>
  </mergeCells>
  <pageMargins left="0.7" right="0.7" top="0.75" bottom="0.75" header="0.3" footer="0.3"/>
  <pageSetup paperSize="9" orientation="portrait" horizontalDpi="4294967293"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3A332-FB96-4276-A8DD-566655D283DC}">
  <sheetPr>
    <tabColor rgb="FFFF0000"/>
  </sheetPr>
  <dimension ref="A1:AG22"/>
  <sheetViews>
    <sheetView zoomScale="90" zoomScaleNormal="90" workbookViewId="0">
      <pane xSplit="7" ySplit="8" topLeftCell="H9" activePane="bottomRight" state="frozen"/>
      <selection activeCell="A2" sqref="A2"/>
      <selection pane="topRight" activeCell="H2" sqref="H2"/>
      <selection pane="bottomLeft" activeCell="A9" sqref="A9"/>
      <selection pane="bottomRight" activeCell="B13" sqref="B13"/>
    </sheetView>
  </sheetViews>
  <sheetFormatPr defaultColWidth="9" defaultRowHeight="15"/>
  <cols>
    <col min="1" max="1" width="17.25" style="112" bestFit="1" customWidth="1"/>
    <col min="2" max="3" width="9.375" style="107" customWidth="1"/>
    <col min="4" max="4" width="18.125" style="108" customWidth="1"/>
    <col min="5" max="5" width="14.125" style="107" customWidth="1"/>
    <col min="6" max="10" width="9.375" style="107" customWidth="1"/>
    <col min="11" max="11" width="25" style="109" customWidth="1"/>
    <col min="12" max="15" width="9.375" style="110" customWidth="1"/>
    <col min="16" max="16" width="9.375" style="111" customWidth="1"/>
    <col min="17" max="23" width="9.375" style="110" customWidth="1"/>
    <col min="24" max="24" width="9.375" style="107" customWidth="1"/>
    <col min="25" max="25" width="13.875" style="107" customWidth="1"/>
    <col min="26" max="26" width="15.875" style="112" customWidth="1"/>
    <col min="27" max="27" width="9.5" style="112" customWidth="1"/>
    <col min="28" max="28" width="15.75" style="112" customWidth="1"/>
    <col min="29" max="29" width="10.75" style="112" customWidth="1"/>
    <col min="30" max="30" width="13.25" style="112" bestFit="1" customWidth="1"/>
    <col min="31" max="31" width="15.875" style="112" customWidth="1"/>
    <col min="32" max="32" width="9.375" style="112" customWidth="1"/>
    <col min="33" max="33" width="15.875" style="112" customWidth="1"/>
    <col min="34" max="16384" width="9" style="112"/>
  </cols>
  <sheetData>
    <row r="1" spans="1:33" hidden="1">
      <c r="A1" s="106" t="s">
        <v>34</v>
      </c>
    </row>
    <row r="3" spans="1:33">
      <c r="A3" s="113" t="s">
        <v>48</v>
      </c>
      <c r="B3" s="113"/>
    </row>
    <row r="4" spans="1:33" s="116" customFormat="1">
      <c r="A4" s="114">
        <f ca="1">NOW()</f>
        <v>45868.150765856481</v>
      </c>
      <c r="B4" s="115"/>
      <c r="D4" s="117"/>
      <c r="K4" s="118"/>
      <c r="L4" s="285" t="s">
        <v>12</v>
      </c>
      <c r="M4" s="285"/>
      <c r="N4" s="285"/>
      <c r="O4" s="285"/>
      <c r="P4" s="285"/>
      <c r="Q4" s="119"/>
      <c r="R4" s="119"/>
      <c r="S4" s="119"/>
      <c r="T4" s="119"/>
      <c r="U4" s="119"/>
      <c r="V4" s="119"/>
      <c r="W4" s="119"/>
      <c r="Y4" s="285" t="s">
        <v>13</v>
      </c>
      <c r="Z4" s="285"/>
      <c r="AA4" s="113"/>
      <c r="AB4" s="285" t="s">
        <v>14</v>
      </c>
      <c r="AC4" s="285"/>
      <c r="AD4" s="285"/>
      <c r="AE4" s="285"/>
      <c r="AF4" s="285"/>
      <c r="AG4" s="285"/>
    </row>
    <row r="5" spans="1:33" s="116" customFormat="1" ht="14.25" customHeight="1">
      <c r="B5" s="286" t="s">
        <v>15</v>
      </c>
      <c r="C5" s="286" t="s">
        <v>16</v>
      </c>
      <c r="D5" s="286" t="s">
        <v>17</v>
      </c>
      <c r="E5" s="286"/>
      <c r="F5" s="286" t="s">
        <v>18</v>
      </c>
      <c r="G5" s="286" t="s">
        <v>8</v>
      </c>
      <c r="H5" s="286" t="s">
        <v>19</v>
      </c>
      <c r="I5" s="286" t="s">
        <v>20</v>
      </c>
      <c r="J5" s="286" t="s">
        <v>21</v>
      </c>
      <c r="K5" s="287" t="s">
        <v>35</v>
      </c>
      <c r="L5" s="288" t="s">
        <v>22</v>
      </c>
      <c r="M5" s="289" t="s">
        <v>23</v>
      </c>
      <c r="N5" s="289" t="s">
        <v>24</v>
      </c>
      <c r="O5" s="289" t="s">
        <v>25</v>
      </c>
      <c r="P5" s="289" t="s">
        <v>26</v>
      </c>
      <c r="Q5" s="286" t="s">
        <v>36</v>
      </c>
      <c r="R5" s="291" t="s">
        <v>27</v>
      </c>
      <c r="S5" s="286" t="s">
        <v>10</v>
      </c>
      <c r="T5" s="286" t="s">
        <v>28</v>
      </c>
      <c r="U5" s="286"/>
      <c r="V5" s="286" t="s">
        <v>9</v>
      </c>
      <c r="W5" s="291" t="s">
        <v>29</v>
      </c>
      <c r="Y5" s="288" t="s">
        <v>30</v>
      </c>
      <c r="Z5" s="288" t="s">
        <v>31</v>
      </c>
      <c r="AB5" s="288" t="s">
        <v>36</v>
      </c>
      <c r="AC5" s="288" t="s">
        <v>10</v>
      </c>
      <c r="AD5" s="288"/>
      <c r="AE5" s="288" t="s">
        <v>9</v>
      </c>
      <c r="AF5" s="288" t="s">
        <v>32</v>
      </c>
      <c r="AG5" s="288"/>
    </row>
    <row r="6" spans="1:33" s="116" customFormat="1">
      <c r="B6" s="279"/>
      <c r="C6" s="279"/>
      <c r="D6" s="279"/>
      <c r="E6" s="279"/>
      <c r="F6" s="279"/>
      <c r="G6" s="279"/>
      <c r="H6" s="279"/>
      <c r="I6" s="279"/>
      <c r="J6" s="279"/>
      <c r="K6" s="279"/>
      <c r="L6" s="286"/>
      <c r="M6" s="290"/>
      <c r="N6" s="290"/>
      <c r="O6" s="290"/>
      <c r="P6" s="290"/>
      <c r="Q6" s="286"/>
      <c r="R6" s="286"/>
      <c r="S6" s="286"/>
      <c r="T6" s="116" t="s">
        <v>30</v>
      </c>
      <c r="U6" s="116" t="s">
        <v>31</v>
      </c>
      <c r="V6" s="286"/>
      <c r="W6" s="286"/>
      <c r="Y6" s="286"/>
      <c r="Z6" s="286"/>
      <c r="AB6" s="286"/>
      <c r="AC6" s="116" t="s">
        <v>30</v>
      </c>
      <c r="AD6" s="116" t="s">
        <v>31</v>
      </c>
      <c r="AE6" s="286"/>
      <c r="AF6" s="116" t="s">
        <v>30</v>
      </c>
      <c r="AG6" s="116" t="s">
        <v>31</v>
      </c>
    </row>
    <row r="7" spans="1:33" s="120" customFormat="1">
      <c r="C7" s="121"/>
      <c r="D7" s="122"/>
      <c r="K7" s="123"/>
      <c r="L7" s="120" t="s">
        <v>37</v>
      </c>
      <c r="M7" s="124"/>
      <c r="N7" s="124"/>
      <c r="O7" s="124"/>
      <c r="P7" s="125"/>
      <c r="Q7" s="120" t="s">
        <v>38</v>
      </c>
      <c r="R7" s="120" t="s">
        <v>1</v>
      </c>
      <c r="S7" s="120" t="s">
        <v>39</v>
      </c>
      <c r="T7" s="120" t="s">
        <v>40</v>
      </c>
      <c r="U7" s="120" t="s">
        <v>41</v>
      </c>
      <c r="V7" s="120" t="s">
        <v>42</v>
      </c>
      <c r="W7" s="124"/>
    </row>
    <row r="8" spans="1:33" s="121" customFormat="1">
      <c r="D8" s="122"/>
      <c r="K8" s="123"/>
      <c r="L8" s="120" t="s">
        <v>33</v>
      </c>
      <c r="M8" s="126"/>
      <c r="N8" s="126"/>
      <c r="O8" s="126"/>
      <c r="P8" s="127"/>
      <c r="Q8" s="126"/>
      <c r="R8" s="126"/>
      <c r="S8" s="126"/>
      <c r="T8" s="126"/>
      <c r="U8" s="126"/>
      <c r="V8" s="126"/>
      <c r="W8" s="126"/>
    </row>
    <row r="9" spans="1:33" s="116" customFormat="1">
      <c r="D9" s="117"/>
      <c r="K9" s="118"/>
      <c r="L9" s="128"/>
      <c r="M9" s="119"/>
      <c r="N9" s="119"/>
      <c r="O9" s="119"/>
      <c r="P9" s="129"/>
      <c r="Q9" s="119"/>
      <c r="R9" s="119"/>
      <c r="S9" s="119"/>
      <c r="T9" s="119"/>
      <c r="U9" s="119"/>
      <c r="V9" s="119"/>
      <c r="W9" s="119"/>
    </row>
    <row r="10" spans="1:33">
      <c r="E10" s="130"/>
      <c r="G10" s="131"/>
      <c r="H10" s="131"/>
      <c r="K10" s="132"/>
      <c r="L10" s="133"/>
      <c r="M10" s="133"/>
      <c r="O10" s="133"/>
      <c r="Q10" s="134"/>
      <c r="R10" s="133"/>
      <c r="S10" s="134"/>
      <c r="T10" s="134"/>
      <c r="U10" s="134"/>
      <c r="V10" s="134"/>
      <c r="W10" s="135"/>
      <c r="X10" s="110"/>
      <c r="Y10" s="1"/>
      <c r="Z10" s="136"/>
      <c r="AA10" s="136"/>
      <c r="AB10" s="6"/>
      <c r="AC10" s="6"/>
      <c r="AD10" s="6"/>
      <c r="AE10" s="6"/>
      <c r="AF10" s="6"/>
      <c r="AG10" s="6"/>
    </row>
    <row r="11" spans="1:33">
      <c r="A11" s="107" t="s">
        <v>49</v>
      </c>
      <c r="E11" s="130"/>
      <c r="G11" s="131"/>
      <c r="H11" s="131"/>
      <c r="K11" s="132"/>
      <c r="L11" s="133"/>
      <c r="M11" s="133"/>
      <c r="O11" s="133"/>
      <c r="Q11" s="134"/>
      <c r="R11" s="133"/>
      <c r="S11" s="134"/>
      <c r="T11" s="134"/>
      <c r="U11" s="134"/>
      <c r="V11" s="134"/>
      <c r="W11" s="135"/>
      <c r="X11" s="110"/>
      <c r="Y11" s="1"/>
      <c r="Z11" s="136"/>
      <c r="AA11" s="136"/>
      <c r="AB11" s="6"/>
      <c r="AC11" s="6"/>
      <c r="AD11" s="6"/>
      <c r="AE11" s="6"/>
      <c r="AF11" s="6"/>
      <c r="AG11" s="6"/>
    </row>
    <row r="12" spans="1:33" s="147" customFormat="1">
      <c r="A12" s="137"/>
      <c r="B12" s="137"/>
      <c r="C12" s="137"/>
      <c r="D12" s="138"/>
      <c r="E12" s="139"/>
      <c r="F12" s="140"/>
      <c r="G12" s="140"/>
      <c r="H12" s="140"/>
      <c r="I12" s="137"/>
      <c r="J12" s="137"/>
      <c r="K12" s="141"/>
      <c r="L12" s="142"/>
      <c r="M12" s="142"/>
      <c r="N12" s="142"/>
      <c r="O12" s="142"/>
      <c r="P12" s="143"/>
      <c r="Q12" s="142"/>
      <c r="R12" s="144"/>
      <c r="S12" s="145"/>
      <c r="T12" s="142"/>
      <c r="U12" s="145"/>
      <c r="V12" s="142"/>
      <c r="W12" s="146"/>
      <c r="X12" s="142"/>
      <c r="Y12" s="142"/>
      <c r="Z12" s="2"/>
      <c r="AA12" s="2"/>
      <c r="AB12" s="2"/>
      <c r="AC12" s="2"/>
      <c r="AD12" s="2"/>
      <c r="AE12" s="2"/>
      <c r="AF12" s="2"/>
      <c r="AG12" s="2"/>
    </row>
    <row r="13" spans="1:33" s="159" customFormat="1">
      <c r="A13" s="148"/>
      <c r="B13" s="184" t="s">
        <v>63</v>
      </c>
      <c r="C13" s="149" t="s">
        <v>43</v>
      </c>
      <c r="D13" s="150"/>
      <c r="E13" s="151"/>
      <c r="F13" s="152"/>
      <c r="G13" s="152"/>
      <c r="H13" s="152"/>
      <c r="I13" s="149"/>
      <c r="J13" s="149"/>
      <c r="K13" s="153"/>
      <c r="L13" s="86"/>
      <c r="M13" s="86"/>
      <c r="N13" s="154"/>
      <c r="O13" s="154"/>
      <c r="P13" s="155"/>
      <c r="Q13" s="156"/>
      <c r="R13" s="157"/>
      <c r="S13" s="156"/>
      <c r="T13" s="156"/>
      <c r="U13" s="156"/>
      <c r="V13" s="156"/>
      <c r="W13" s="154"/>
      <c r="X13" s="154"/>
      <c r="Y13" s="154"/>
      <c r="Z13" s="158"/>
      <c r="AA13" s="158"/>
      <c r="AB13" s="158"/>
      <c r="AC13" s="158"/>
      <c r="AD13" s="158"/>
      <c r="AE13" s="158"/>
      <c r="AF13" s="158"/>
      <c r="AG13" s="158"/>
    </row>
    <row r="14" spans="1:33" s="159" customFormat="1">
      <c r="A14" s="148"/>
      <c r="B14" s="148"/>
      <c r="C14" s="148" t="s">
        <v>3</v>
      </c>
      <c r="D14" s="13">
        <v>45870</v>
      </c>
      <c r="E14" s="14" t="s">
        <v>69</v>
      </c>
      <c r="F14" s="15" t="s">
        <v>70</v>
      </c>
      <c r="G14" s="160" t="s">
        <v>2</v>
      </c>
      <c r="H14" s="160" t="s">
        <v>4</v>
      </c>
      <c r="I14" s="148" t="s">
        <v>5</v>
      </c>
      <c r="J14" s="148" t="s">
        <v>6</v>
      </c>
      <c r="K14" s="161" t="str">
        <f>B$13&amp;"/"&amp;I14&amp;"/"&amp;C14&amp;"/"&amp;E14&amp;"/"&amp;G14&amp;"/"&amp;F14&amp;"/"&amp;J14</f>
        <v>TLT/SMART/OPT/20250801/P/86/USD</v>
      </c>
      <c r="L14" s="162" t="e">
        <f>(RTD($A$1,,$K14,$L$7)+RTD($A$1,,$K14,$L$8))/2</f>
        <v>#VALUE!</v>
      </c>
      <c r="M14" s="16"/>
      <c r="N14" s="17"/>
      <c r="O14" s="163" t="e">
        <f>L14*N14*H14</f>
        <v>#VALUE!</v>
      </c>
      <c r="P14" s="164" t="e">
        <f>O14-M14*H14*N14</f>
        <v>#VALUE!</v>
      </c>
      <c r="Q14" s="165" t="str">
        <f>RTD($A$1,,$K14,$Q$7)</f>
        <v>TwsRtdServer error: Cannot connect to TWS.</v>
      </c>
      <c r="R14" s="163" t="str">
        <f>RTD($A$1,,B13,$R$7)</f>
        <v>TwsRtdServer error: Cannot connect to TWS.</v>
      </c>
      <c r="S14" s="165" t="str">
        <f>RTD($A$1,,$K14,$S$7)</f>
        <v>TwsRtdServer error: Cannot connect to TWS.</v>
      </c>
      <c r="T14" s="165" t="str">
        <f>RTD($A$1,,$B13,$T$7)</f>
        <v>TwsRtdServer error: Cannot connect to TWS.</v>
      </c>
      <c r="U14" s="165" t="str">
        <f>RTD($A$1,,$K14,$U$7)</f>
        <v>TwsRtdServer error: Cannot connect to TWS.</v>
      </c>
      <c r="V14" s="165" t="str">
        <f>RTD($A$1,,$K14,$V$7)</f>
        <v>TwsRtdServer error: Cannot connect to TWS.</v>
      </c>
      <c r="W14" s="166">
        <f ca="1">IF($D14&gt;0, $D14-TODAY(), 0)</f>
        <v>2</v>
      </c>
      <c r="X14" s="167"/>
      <c r="Y14" s="3" t="e">
        <f>$N14*$H14*Q14*R14*T14</f>
        <v>#VALUE!</v>
      </c>
      <c r="Z14" s="168" t="e">
        <f>$N14*$H14*Q14*R14*U14</f>
        <v>#VALUE!</v>
      </c>
      <c r="AA14" s="168"/>
      <c r="AB14" s="4" t="e">
        <f>$N14*$H14*Q14*R14</f>
        <v>#VALUE!</v>
      </c>
      <c r="AC14" s="4"/>
      <c r="AD14" s="4" t="e">
        <f>$N14*$H14*$S14*(U14*100)</f>
        <v>#VALUE!</v>
      </c>
      <c r="AE14" s="4" t="e">
        <f ca="1">$N14*$H14*$V14*W14</f>
        <v>#VALUE!</v>
      </c>
      <c r="AF14" s="4"/>
      <c r="AG14" s="4" t="e">
        <f>IF($V$8="ON", $AB14+AD14-$AE14, $AB14+AD14)</f>
        <v>#VALUE!</v>
      </c>
    </row>
    <row r="15" spans="1:33" s="183" customFormat="1">
      <c r="A15" s="171"/>
      <c r="B15" s="171"/>
      <c r="C15" s="171"/>
      <c r="D15" s="172"/>
      <c r="E15" s="173"/>
      <c r="F15" s="174" t="str">
        <f>IF(N14&gt;0, IF(M14&gt;0, F14-M14, F14-L14), "")</f>
        <v/>
      </c>
      <c r="G15" s="175"/>
      <c r="H15" s="175"/>
      <c r="I15" s="171"/>
      <c r="J15" s="171"/>
      <c r="K15" s="176"/>
      <c r="L15" s="104"/>
      <c r="M15" s="104"/>
      <c r="N15" s="177"/>
      <c r="O15" s="178" t="str">
        <f>IF(N14&gt;0, IF(M14&gt;0, M14*N14*H14, L14*N14*H14), "")</f>
        <v/>
      </c>
      <c r="P15" s="179"/>
      <c r="Q15" s="177"/>
      <c r="R15" s="180"/>
      <c r="S15" s="181"/>
      <c r="T15" s="177"/>
      <c r="U15" s="181"/>
      <c r="V15" s="177"/>
      <c r="W15" s="182"/>
      <c r="X15" s="177"/>
      <c r="Y15" s="177"/>
      <c r="Z15" s="5"/>
      <c r="AA15" s="5"/>
      <c r="AB15" s="5"/>
      <c r="AC15" s="5"/>
      <c r="AD15" s="5"/>
      <c r="AE15" s="5"/>
      <c r="AF15" s="5"/>
      <c r="AG15" s="5"/>
    </row>
    <row r="16" spans="1:33" s="183" customFormat="1">
      <c r="A16" s="171"/>
      <c r="B16" s="171"/>
      <c r="C16" s="171"/>
      <c r="D16" s="172"/>
      <c r="E16" s="173"/>
      <c r="F16" s="174"/>
      <c r="G16" s="175"/>
      <c r="H16" s="175"/>
      <c r="I16" s="171"/>
      <c r="J16" s="171"/>
      <c r="K16" s="176"/>
      <c r="L16" s="104"/>
      <c r="M16" s="104"/>
      <c r="N16" s="177"/>
      <c r="O16" s="178"/>
      <c r="P16" s="179"/>
      <c r="Q16" s="177"/>
      <c r="R16" s="180"/>
      <c r="S16" s="181"/>
      <c r="T16" s="177"/>
      <c r="U16" s="181"/>
      <c r="V16" s="177"/>
      <c r="W16" s="182"/>
      <c r="X16" s="177"/>
      <c r="Y16" s="177"/>
      <c r="Z16" s="5"/>
      <c r="AA16" s="5"/>
      <c r="AB16" s="5"/>
      <c r="AC16" s="5"/>
      <c r="AD16" s="5"/>
      <c r="AE16" s="5"/>
      <c r="AF16" s="5"/>
      <c r="AG16" s="5"/>
    </row>
    <row r="17" spans="1:33" s="183" customFormat="1">
      <c r="A17" s="107" t="s">
        <v>50</v>
      </c>
      <c r="B17" s="171"/>
      <c r="C17" s="171"/>
      <c r="D17" s="172"/>
      <c r="E17" s="173"/>
      <c r="F17" s="174"/>
      <c r="G17" s="175"/>
      <c r="H17" s="175"/>
      <c r="I17" s="171"/>
      <c r="J17" s="171"/>
      <c r="K17" s="176"/>
      <c r="L17" s="104"/>
      <c r="M17" s="104"/>
      <c r="N17" s="177"/>
      <c r="O17" s="178"/>
      <c r="P17" s="179"/>
      <c r="Q17" s="177"/>
      <c r="R17" s="180"/>
      <c r="S17" s="181"/>
      <c r="T17" s="177"/>
      <c r="U17" s="181"/>
      <c r="V17" s="177"/>
      <c r="W17" s="182"/>
      <c r="X17" s="177"/>
      <c r="Y17" s="177"/>
      <c r="Z17" s="5"/>
      <c r="AA17" s="5"/>
      <c r="AB17" s="5"/>
      <c r="AC17" s="5"/>
      <c r="AD17" s="5"/>
      <c r="AE17" s="5"/>
      <c r="AF17" s="5"/>
      <c r="AG17" s="5"/>
    </row>
    <row r="18" spans="1:33" s="183" customFormat="1">
      <c r="B18" s="171"/>
      <c r="C18" s="171"/>
      <c r="D18" s="172"/>
      <c r="E18" s="173"/>
      <c r="F18" s="174"/>
      <c r="G18" s="175"/>
      <c r="H18" s="175"/>
      <c r="I18" s="171"/>
      <c r="J18" s="171"/>
      <c r="K18" s="176"/>
      <c r="L18" s="177"/>
      <c r="M18" s="177"/>
      <c r="N18" s="177"/>
      <c r="O18" s="178"/>
      <c r="P18" s="179"/>
      <c r="Q18" s="177"/>
      <c r="R18" s="180"/>
      <c r="S18" s="181"/>
      <c r="T18" s="177"/>
      <c r="U18" s="181"/>
      <c r="V18" s="177"/>
      <c r="W18" s="182"/>
      <c r="X18" s="177"/>
      <c r="Y18" s="177"/>
      <c r="Z18" s="5"/>
      <c r="AA18" s="5"/>
      <c r="AB18" s="5"/>
      <c r="AC18" s="5"/>
      <c r="AD18" s="5"/>
      <c r="AE18" s="5"/>
      <c r="AF18" s="5"/>
      <c r="AG18" s="5"/>
    </row>
    <row r="19" spans="1:33" s="159" customFormat="1">
      <c r="A19" s="167"/>
      <c r="B19" s="184" t="s">
        <v>63</v>
      </c>
      <c r="C19" s="149" t="s">
        <v>43</v>
      </c>
      <c r="D19" s="150"/>
      <c r="E19" s="151"/>
      <c r="F19" s="152"/>
      <c r="G19" s="152"/>
      <c r="H19" s="152"/>
      <c r="I19" s="149"/>
      <c r="J19" s="149"/>
      <c r="K19" s="153"/>
      <c r="L19" s="86" t="e">
        <f>(F20-F21)/(L20-L21)-1</f>
        <v>#VALUE!</v>
      </c>
      <c r="M19" s="86" t="str">
        <f>IF(M22&gt;0, (F20-F21)/M22-1, "")</f>
        <v/>
      </c>
      <c r="N19" s="154"/>
      <c r="O19" s="154"/>
      <c r="P19" s="155"/>
      <c r="Q19" s="156"/>
      <c r="R19" s="157"/>
      <c r="S19" s="156"/>
      <c r="T19" s="156"/>
      <c r="U19" s="156"/>
      <c r="V19" s="156"/>
      <c r="W19" s="154"/>
      <c r="X19" s="154"/>
      <c r="Y19" s="154"/>
      <c r="Z19" s="158"/>
      <c r="AA19" s="158"/>
      <c r="AB19" s="158"/>
      <c r="AC19" s="158"/>
      <c r="AD19" s="158"/>
      <c r="AE19" s="158"/>
      <c r="AF19" s="158"/>
      <c r="AG19" s="158"/>
    </row>
    <row r="20" spans="1:33" s="159" customFormat="1">
      <c r="B20" s="148"/>
      <c r="C20" s="148" t="s">
        <v>3</v>
      </c>
      <c r="D20" s="13">
        <v>45870</v>
      </c>
      <c r="E20" s="14" t="s">
        <v>69</v>
      </c>
      <c r="F20" s="15" t="s">
        <v>70</v>
      </c>
      <c r="G20" s="160" t="s">
        <v>2</v>
      </c>
      <c r="H20" s="160" t="s">
        <v>4</v>
      </c>
      <c r="I20" s="148" t="s">
        <v>5</v>
      </c>
      <c r="J20" s="148" t="s">
        <v>6</v>
      </c>
      <c r="K20" s="161" t="str">
        <f>B$13&amp;"/"&amp;I20&amp;"/"&amp;C20&amp;"/"&amp;E20&amp;"/"&amp;G20&amp;"/"&amp;F20&amp;"/"&amp;J20</f>
        <v>TLT/SMART/OPT/20250801/P/86/USD</v>
      </c>
      <c r="L20" s="162" t="e">
        <f>(RTD($A$1,,$K20,$L$7)+RTD($A$1,,$K20,$L$8))/2</f>
        <v>#VALUE!</v>
      </c>
      <c r="M20" s="272"/>
      <c r="N20" s="17"/>
      <c r="O20" s="163" t="e">
        <f>L20*N20*H20</f>
        <v>#VALUE!</v>
      </c>
      <c r="P20" s="164" t="e">
        <f>O20-M20*H20*N20</f>
        <v>#VALUE!</v>
      </c>
      <c r="Q20" s="165" t="str">
        <f>RTD($A$1,,$K20,$Q$7)</f>
        <v>TwsRtdServer error: Cannot connect to TWS.</v>
      </c>
      <c r="R20" s="163" t="str">
        <f>RTD($A$1,,B19,$R$7)</f>
        <v>TwsRtdServer error: Cannot connect to TWS.</v>
      </c>
      <c r="S20" s="165" t="str">
        <f>RTD($A$1,,$K20,$S$7)</f>
        <v>TwsRtdServer error: Cannot connect to TWS.</v>
      </c>
      <c r="T20" s="165" t="str">
        <f>RTD($A$1,,$B19,$T$7)</f>
        <v>TwsRtdServer error: Cannot connect to TWS.</v>
      </c>
      <c r="U20" s="165" t="str">
        <f>RTD($A$1,,$K20,$U$7)</f>
        <v>TwsRtdServer error: Cannot connect to TWS.</v>
      </c>
      <c r="V20" s="165" t="str">
        <f>RTD($A$1,,$K20,$V$7)</f>
        <v>TwsRtdServer error: Cannot connect to TWS.</v>
      </c>
      <c r="W20" s="166">
        <f ca="1">IF($D20&gt;0, $D20-TODAY(), 0)</f>
        <v>2</v>
      </c>
      <c r="X20" s="167"/>
      <c r="Y20" s="3" t="e">
        <f>$N20*$H20*Q20*R20*T20</f>
        <v>#VALUE!</v>
      </c>
      <c r="Z20" s="168" t="e">
        <f>$N20*$H20*Q20*R20*U20</f>
        <v>#VALUE!</v>
      </c>
      <c r="AA20" s="168"/>
      <c r="AB20" s="4" t="e">
        <f>$N20*$H20*Q20*R20</f>
        <v>#VALUE!</v>
      </c>
      <c r="AC20" s="4"/>
      <c r="AD20" s="4" t="e">
        <f>$N20*$H20*$S20*(U20*100)</f>
        <v>#VALUE!</v>
      </c>
      <c r="AE20" s="4" t="e">
        <f ca="1">$N20*$H20*$V20*W20</f>
        <v>#VALUE!</v>
      </c>
      <c r="AF20" s="4"/>
      <c r="AG20" s="4" t="e">
        <f>IF($V$8="ON", $AB20+AD20-$AE20, $AB20+AD20)</f>
        <v>#VALUE!</v>
      </c>
    </row>
    <row r="21" spans="1:33" s="159" customFormat="1">
      <c r="B21" s="148"/>
      <c r="C21" s="148" t="s">
        <v>3</v>
      </c>
      <c r="D21" s="169">
        <f>D20</f>
        <v>45870</v>
      </c>
      <c r="E21" s="170" t="str">
        <f>E20</f>
        <v>20250801</v>
      </c>
      <c r="F21" s="15" t="s">
        <v>66</v>
      </c>
      <c r="G21" s="160" t="s">
        <v>2</v>
      </c>
      <c r="H21" s="160" t="s">
        <v>4</v>
      </c>
      <c r="I21" s="148" t="s">
        <v>5</v>
      </c>
      <c r="J21" s="148" t="s">
        <v>6</v>
      </c>
      <c r="K21" s="161" t="str">
        <f>B$13&amp;"/"&amp;I21&amp;"/"&amp;C21&amp;"/"&amp;E21&amp;"/"&amp;G21&amp;"/"&amp;F21&amp;"/"&amp;J21</f>
        <v>TLT/SMART/OPT/20250801/P/82/USD</v>
      </c>
      <c r="L21" s="163" t="e">
        <f>(RTD($A$1,,$K21,$L$7)+RTD($A$1,,$K21,$L$8))/2</f>
        <v>#VALUE!</v>
      </c>
      <c r="M21" s="273"/>
      <c r="N21" s="167">
        <f>N20*(-1)</f>
        <v>0</v>
      </c>
      <c r="O21" s="163" t="e">
        <f>L21*N21*H21</f>
        <v>#VALUE!</v>
      </c>
      <c r="P21" s="164" t="e">
        <f>O21-M21*H21*N21</f>
        <v>#VALUE!</v>
      </c>
      <c r="Q21" s="165" t="str">
        <f>RTD($A$1,,$K21,$Q$7)</f>
        <v>TwsRtdServer error: Cannot connect to TWS.</v>
      </c>
      <c r="R21" s="163" t="str">
        <f>RTD($A$1,,B19,$R$7)</f>
        <v>TwsRtdServer error: Cannot connect to TWS.</v>
      </c>
      <c r="S21" s="165" t="str">
        <f>RTD($A$1,,$K21,$S$7)</f>
        <v>TwsRtdServer error: Cannot connect to TWS.</v>
      </c>
      <c r="T21" s="165" t="str">
        <f>RTD($A$1,,$B19,$T$7)</f>
        <v>TwsRtdServer error: Cannot connect to TWS.</v>
      </c>
      <c r="U21" s="165" t="str">
        <f>RTD($A$1,,$K21,$U$7)</f>
        <v>TwsRtdServer error: Cannot connect to TWS.</v>
      </c>
      <c r="V21" s="165" t="str">
        <f>RTD($A$1,,$K21,$V$7)</f>
        <v>TwsRtdServer error: Cannot connect to TWS.</v>
      </c>
      <c r="W21" s="166">
        <f ca="1">IF($D21&gt;0, $D21-TODAY(), 0)</f>
        <v>2</v>
      </c>
      <c r="X21" s="167"/>
      <c r="Y21" s="3" t="e">
        <f>$N21*$H21*Q21*R21*T21</f>
        <v>#VALUE!</v>
      </c>
      <c r="Z21" s="168" t="e">
        <f>$N21*$H21*Q21*R21*U21</f>
        <v>#VALUE!</v>
      </c>
      <c r="AA21" s="168"/>
      <c r="AB21" s="4" t="e">
        <f>$N21*$H21*Q21*R21</f>
        <v>#VALUE!</v>
      </c>
      <c r="AC21" s="4"/>
      <c r="AD21" s="4" t="e">
        <f>$N21*$H21*$S21*(U21*100)</f>
        <v>#VALUE!</v>
      </c>
      <c r="AE21" s="4" t="e">
        <f ca="1">$N21*$H21*$V21*W21</f>
        <v>#VALUE!</v>
      </c>
      <c r="AF21" s="4"/>
      <c r="AG21" s="4" t="e">
        <f>IF($V$8="ON", $AB21+AD21-$AE21, $AB21+AD21)</f>
        <v>#VALUE!</v>
      </c>
    </row>
    <row r="22" spans="1:33" s="183" customFormat="1">
      <c r="B22" s="171"/>
      <c r="C22" s="171"/>
      <c r="D22" s="172"/>
      <c r="E22" s="173"/>
      <c r="F22" s="174" t="str">
        <f>IF(N20&gt;0, IF(M22&gt;0, F20-M22, F20-L22), "")</f>
        <v/>
      </c>
      <c r="G22" s="175"/>
      <c r="H22" s="175"/>
      <c r="I22" s="171"/>
      <c r="J22" s="171"/>
      <c r="K22" s="176"/>
      <c r="L22" s="104" t="e">
        <f>L20-L21</f>
        <v>#VALUE!</v>
      </c>
      <c r="M22" s="12"/>
      <c r="N22" s="177"/>
      <c r="O22" s="178" t="str">
        <f>IF(N20&gt;0, IF(M22&gt;0, M22*N20*H20, L22*N20*H20), "")</f>
        <v/>
      </c>
      <c r="P22" s="179"/>
      <c r="Q22" s="177"/>
      <c r="R22" s="180"/>
      <c r="S22" s="181"/>
      <c r="T22" s="177"/>
      <c r="U22" s="181"/>
      <c r="V22" s="177"/>
      <c r="W22" s="182"/>
      <c r="X22" s="177"/>
      <c r="Y22" s="177"/>
      <c r="Z22" s="5"/>
      <c r="AA22" s="5"/>
      <c r="AB22" s="5"/>
      <c r="AC22" s="5"/>
      <c r="AD22" s="5"/>
      <c r="AE22" s="5"/>
      <c r="AF22" s="5"/>
      <c r="AG22" s="5"/>
    </row>
  </sheetData>
  <sheetProtection algorithmName="SHA-512" hashValue="7qZIXpVjBJPYrn8PiEwrI91+P+FaRtBKsLQ0stESMgjhHNIAGvAp+o+HFhZLTKPCFI8wEnroTrcqsFWXA8wX0g==" saltValue="/pPaxf62uTZfcC8kFB5VlA==" spinCount="100000" sheet="1" objects="1" scenarios="1" selectLockedCells="1"/>
  <mergeCells count="29">
    <mergeCell ref="T5:U5"/>
    <mergeCell ref="AF5:AG5"/>
    <mergeCell ref="W5:W6"/>
    <mergeCell ref="Y5:Y6"/>
    <mergeCell ref="Z5:Z6"/>
    <mergeCell ref="AB5:AB6"/>
    <mergeCell ref="AC5:AD5"/>
    <mergeCell ref="AE5:AE6"/>
    <mergeCell ref="O5:O6"/>
    <mergeCell ref="P5:P6"/>
    <mergeCell ref="Q5:Q6"/>
    <mergeCell ref="R5:R6"/>
    <mergeCell ref="S5:S6"/>
    <mergeCell ref="L4:P4"/>
    <mergeCell ref="Y4:Z4"/>
    <mergeCell ref="AB4:AG4"/>
    <mergeCell ref="B5:B6"/>
    <mergeCell ref="C5:C6"/>
    <mergeCell ref="D5:E6"/>
    <mergeCell ref="F5:F6"/>
    <mergeCell ref="G5:G6"/>
    <mergeCell ref="H5:H6"/>
    <mergeCell ref="I5:I6"/>
    <mergeCell ref="V5:V6"/>
    <mergeCell ref="J5:J6"/>
    <mergeCell ref="K5:K6"/>
    <mergeCell ref="L5:L6"/>
    <mergeCell ref="M5:M6"/>
    <mergeCell ref="N5:N6"/>
  </mergeCells>
  <pageMargins left="0.7" right="0.7" top="0.75" bottom="0.75" header="0.3" footer="0.3"/>
  <pageSetup paperSize="9" orientation="portrait" horizontalDpi="4294967293"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C0C7D-C3C1-4D88-B742-65AACD61057E}">
  <sheetPr>
    <tabColor rgb="FF7030A0"/>
  </sheetPr>
  <dimension ref="A1:AG18"/>
  <sheetViews>
    <sheetView zoomScale="90" zoomScaleNormal="90" workbookViewId="0">
      <pane xSplit="7" ySplit="8" topLeftCell="H9" activePane="bottomRight" state="frozen"/>
      <selection activeCell="A2" sqref="A2"/>
      <selection pane="topRight" activeCell="H2" sqref="H2"/>
      <selection pane="bottomLeft" activeCell="A9" sqref="A9"/>
      <selection pane="bottomRight" activeCell="B13" sqref="B13"/>
    </sheetView>
  </sheetViews>
  <sheetFormatPr defaultColWidth="9" defaultRowHeight="15"/>
  <cols>
    <col min="1" max="1" width="17.25" style="112" bestFit="1" customWidth="1"/>
    <col min="2" max="3" width="9.375" style="107" customWidth="1"/>
    <col min="4" max="4" width="18.125" style="108" customWidth="1"/>
    <col min="5" max="5" width="14.125" style="107" customWidth="1"/>
    <col min="6" max="10" width="9.375" style="107" customWidth="1"/>
    <col min="11" max="11" width="25" style="109" customWidth="1"/>
    <col min="12" max="15" width="9.375" style="110" customWidth="1"/>
    <col min="16" max="16" width="9.375" style="111" customWidth="1"/>
    <col min="17" max="23" width="9.375" style="110" customWidth="1"/>
    <col min="24" max="24" width="9.375" style="107" customWidth="1"/>
    <col min="25" max="25" width="13.875" style="107" customWidth="1"/>
    <col min="26" max="26" width="15.875" style="112" customWidth="1"/>
    <col min="27" max="27" width="9.5" style="112" customWidth="1"/>
    <col min="28" max="28" width="15.75" style="112" customWidth="1"/>
    <col min="29" max="29" width="10.75" style="112" customWidth="1"/>
    <col min="30" max="30" width="13.25" style="112" bestFit="1" customWidth="1"/>
    <col min="31" max="31" width="15.875" style="112" customWidth="1"/>
    <col min="32" max="32" width="9.375" style="112" customWidth="1"/>
    <col min="33" max="33" width="15.875" style="112" customWidth="1"/>
    <col min="34" max="16384" width="9" style="112"/>
  </cols>
  <sheetData>
    <row r="1" spans="1:33" hidden="1">
      <c r="A1" s="106" t="s">
        <v>34</v>
      </c>
    </row>
    <row r="3" spans="1:33">
      <c r="A3" s="113" t="s">
        <v>54</v>
      </c>
      <c r="B3" s="113"/>
    </row>
    <row r="4" spans="1:33" s="116" customFormat="1">
      <c r="A4" s="114">
        <f ca="1">NOW()</f>
        <v>45868.150765856481</v>
      </c>
      <c r="B4" s="115"/>
      <c r="D4" s="117"/>
      <c r="K4" s="118"/>
      <c r="L4" s="285" t="s">
        <v>12</v>
      </c>
      <c r="M4" s="285"/>
      <c r="N4" s="285"/>
      <c r="O4" s="285"/>
      <c r="P4" s="285"/>
      <c r="Q4" s="119"/>
      <c r="R4" s="119"/>
      <c r="S4" s="119"/>
      <c r="T4" s="119"/>
      <c r="U4" s="119"/>
      <c r="V4" s="119"/>
      <c r="W4" s="119"/>
      <c r="Y4" s="285" t="s">
        <v>13</v>
      </c>
      <c r="Z4" s="285"/>
      <c r="AA4" s="113"/>
      <c r="AB4" s="285" t="s">
        <v>14</v>
      </c>
      <c r="AC4" s="285"/>
      <c r="AD4" s="285"/>
      <c r="AE4" s="285"/>
      <c r="AF4" s="285"/>
      <c r="AG4" s="285"/>
    </row>
    <row r="5" spans="1:33" s="116" customFormat="1" ht="14.25" customHeight="1">
      <c r="B5" s="286" t="s">
        <v>15</v>
      </c>
      <c r="C5" s="286" t="s">
        <v>16</v>
      </c>
      <c r="D5" s="286" t="s">
        <v>17</v>
      </c>
      <c r="E5" s="286"/>
      <c r="F5" s="286" t="s">
        <v>18</v>
      </c>
      <c r="G5" s="286" t="s">
        <v>8</v>
      </c>
      <c r="H5" s="286" t="s">
        <v>19</v>
      </c>
      <c r="I5" s="286" t="s">
        <v>20</v>
      </c>
      <c r="J5" s="286" t="s">
        <v>21</v>
      </c>
      <c r="K5" s="287" t="s">
        <v>35</v>
      </c>
      <c r="L5" s="288" t="s">
        <v>22</v>
      </c>
      <c r="M5" s="289" t="s">
        <v>23</v>
      </c>
      <c r="N5" s="289" t="s">
        <v>24</v>
      </c>
      <c r="O5" s="289" t="s">
        <v>25</v>
      </c>
      <c r="P5" s="289" t="s">
        <v>26</v>
      </c>
      <c r="Q5" s="286" t="s">
        <v>36</v>
      </c>
      <c r="R5" s="291" t="s">
        <v>27</v>
      </c>
      <c r="S5" s="286" t="s">
        <v>10</v>
      </c>
      <c r="T5" s="286" t="s">
        <v>28</v>
      </c>
      <c r="U5" s="286"/>
      <c r="V5" s="286" t="s">
        <v>9</v>
      </c>
      <c r="W5" s="291" t="s">
        <v>29</v>
      </c>
      <c r="Y5" s="288" t="s">
        <v>30</v>
      </c>
      <c r="Z5" s="288" t="s">
        <v>31</v>
      </c>
      <c r="AB5" s="288" t="s">
        <v>36</v>
      </c>
      <c r="AC5" s="288" t="s">
        <v>10</v>
      </c>
      <c r="AD5" s="288"/>
      <c r="AE5" s="288" t="s">
        <v>9</v>
      </c>
      <c r="AF5" s="288" t="s">
        <v>32</v>
      </c>
      <c r="AG5" s="288"/>
    </row>
    <row r="6" spans="1:33" s="116" customFormat="1">
      <c r="B6" s="279"/>
      <c r="C6" s="279"/>
      <c r="D6" s="279"/>
      <c r="E6" s="279"/>
      <c r="F6" s="279"/>
      <c r="G6" s="279"/>
      <c r="H6" s="279"/>
      <c r="I6" s="279"/>
      <c r="J6" s="279"/>
      <c r="K6" s="279"/>
      <c r="L6" s="286"/>
      <c r="M6" s="290"/>
      <c r="N6" s="290"/>
      <c r="O6" s="290"/>
      <c r="P6" s="290"/>
      <c r="Q6" s="286"/>
      <c r="R6" s="286"/>
      <c r="S6" s="286"/>
      <c r="T6" s="116" t="s">
        <v>30</v>
      </c>
      <c r="U6" s="116" t="s">
        <v>31</v>
      </c>
      <c r="V6" s="286"/>
      <c r="W6" s="286"/>
      <c r="Y6" s="286"/>
      <c r="Z6" s="286"/>
      <c r="AB6" s="286"/>
      <c r="AC6" s="116" t="s">
        <v>30</v>
      </c>
      <c r="AD6" s="116" t="s">
        <v>31</v>
      </c>
      <c r="AE6" s="286"/>
      <c r="AF6" s="116" t="s">
        <v>30</v>
      </c>
      <c r="AG6" s="116" t="s">
        <v>31</v>
      </c>
    </row>
    <row r="7" spans="1:33" s="120" customFormat="1">
      <c r="C7" s="121"/>
      <c r="D7" s="122"/>
      <c r="K7" s="123"/>
      <c r="L7" s="120" t="s">
        <v>37</v>
      </c>
      <c r="M7" s="124"/>
      <c r="N7" s="124"/>
      <c r="O7" s="124"/>
      <c r="P7" s="125"/>
      <c r="Q7" s="120" t="s">
        <v>38</v>
      </c>
      <c r="R7" s="120" t="s">
        <v>1</v>
      </c>
      <c r="S7" s="120" t="s">
        <v>39</v>
      </c>
      <c r="T7" s="120" t="s">
        <v>40</v>
      </c>
      <c r="U7" s="120" t="s">
        <v>41</v>
      </c>
      <c r="V7" s="120" t="s">
        <v>42</v>
      </c>
      <c r="W7" s="124"/>
    </row>
    <row r="8" spans="1:33" s="121" customFormat="1">
      <c r="D8" s="122"/>
      <c r="K8" s="123"/>
      <c r="L8" s="120" t="s">
        <v>33</v>
      </c>
      <c r="M8" s="126"/>
      <c r="N8" s="126"/>
      <c r="O8" s="126"/>
      <c r="P8" s="127"/>
      <c r="Q8" s="126"/>
      <c r="R8" s="126"/>
      <c r="S8" s="126"/>
      <c r="T8" s="126"/>
      <c r="U8" s="126"/>
      <c r="V8" s="126"/>
      <c r="W8" s="126"/>
    </row>
    <row r="9" spans="1:33" s="116" customFormat="1">
      <c r="D9" s="117"/>
      <c r="K9" s="118"/>
      <c r="L9" s="128"/>
      <c r="M9" s="119"/>
      <c r="N9" s="119"/>
      <c r="O9" s="119"/>
      <c r="P9" s="129"/>
      <c r="Q9" s="119"/>
      <c r="R9" s="119"/>
      <c r="S9" s="119"/>
      <c r="T9" s="119"/>
      <c r="U9" s="119"/>
      <c r="V9" s="119"/>
      <c r="W9" s="119"/>
    </row>
    <row r="10" spans="1:33">
      <c r="E10" s="130"/>
      <c r="G10" s="131"/>
      <c r="H10" s="131"/>
      <c r="K10" s="132"/>
      <c r="L10" s="133"/>
      <c r="M10" s="133"/>
      <c r="O10" s="133"/>
      <c r="Q10" s="134"/>
      <c r="R10" s="133"/>
      <c r="S10" s="134"/>
      <c r="T10" s="134"/>
      <c r="U10" s="134"/>
      <c r="V10" s="134"/>
      <c r="W10" s="135"/>
      <c r="X10" s="110"/>
      <c r="Y10" s="1"/>
      <c r="Z10" s="136"/>
      <c r="AA10" s="136"/>
      <c r="AB10" s="6"/>
      <c r="AC10" s="6"/>
      <c r="AD10" s="6"/>
      <c r="AE10" s="6"/>
      <c r="AF10" s="6"/>
      <c r="AG10" s="6"/>
    </row>
    <row r="11" spans="1:33">
      <c r="A11" s="185" t="s">
        <v>67</v>
      </c>
      <c r="E11" s="130"/>
      <c r="G11" s="131"/>
      <c r="H11" s="131"/>
      <c r="K11" s="132"/>
      <c r="L11" s="133"/>
      <c r="M11" s="133"/>
      <c r="O11" s="133"/>
      <c r="Q11" s="134"/>
      <c r="R11" s="133"/>
      <c r="S11" s="134"/>
      <c r="T11" s="134"/>
      <c r="U11" s="134"/>
      <c r="V11" s="134"/>
      <c r="W11" s="135"/>
      <c r="X11" s="110"/>
      <c r="Y11" s="1"/>
      <c r="Z11" s="136"/>
      <c r="AA11" s="136"/>
      <c r="AB11" s="6"/>
      <c r="AC11" s="6"/>
      <c r="AD11" s="6"/>
      <c r="AE11" s="6"/>
      <c r="AF11" s="6"/>
      <c r="AG11" s="6"/>
    </row>
    <row r="12" spans="1:33" s="147" customFormat="1">
      <c r="B12" s="137"/>
      <c r="C12" s="137"/>
      <c r="D12" s="138"/>
      <c r="E12" s="139"/>
      <c r="F12" s="140"/>
      <c r="G12" s="140"/>
      <c r="H12" s="140"/>
      <c r="I12" s="137"/>
      <c r="J12" s="137"/>
      <c r="K12" s="141"/>
      <c r="L12" s="142"/>
      <c r="M12" s="142"/>
      <c r="N12" s="142"/>
      <c r="O12" s="142"/>
      <c r="P12" s="143"/>
      <c r="Q12" s="142"/>
      <c r="R12" s="144"/>
      <c r="S12" s="145"/>
      <c r="T12" s="142"/>
      <c r="U12" s="145"/>
      <c r="V12" s="142"/>
      <c r="W12" s="146"/>
      <c r="X12" s="142"/>
      <c r="Y12" s="142"/>
      <c r="Z12" s="2"/>
      <c r="AA12" s="2"/>
      <c r="AB12" s="2"/>
      <c r="AC12" s="2"/>
      <c r="AD12" s="2"/>
      <c r="AE12" s="2"/>
      <c r="AF12" s="2"/>
      <c r="AG12" s="2"/>
    </row>
    <row r="13" spans="1:33" s="159" customFormat="1">
      <c r="B13" s="184" t="s">
        <v>63</v>
      </c>
      <c r="C13" s="149" t="s">
        <v>44</v>
      </c>
      <c r="D13" s="150"/>
      <c r="E13" s="151"/>
      <c r="F13" s="152"/>
      <c r="G13" s="152"/>
      <c r="H13" s="152"/>
      <c r="I13" s="149"/>
      <c r="J13" s="149"/>
      <c r="K13" s="153"/>
      <c r="L13" s="154"/>
      <c r="M13" s="154"/>
      <c r="N13" s="154"/>
      <c r="O13" s="154"/>
      <c r="P13" s="155"/>
      <c r="Q13" s="156"/>
      <c r="R13" s="157"/>
      <c r="S13" s="156"/>
      <c r="T13" s="156"/>
      <c r="U13" s="156"/>
      <c r="V13" s="156"/>
      <c r="W13" s="154"/>
      <c r="X13" s="154"/>
      <c r="Y13" s="154"/>
      <c r="Z13" s="158"/>
      <c r="AA13" s="158"/>
      <c r="AB13" s="158"/>
      <c r="AC13" s="158"/>
      <c r="AD13" s="158"/>
      <c r="AE13" s="158"/>
      <c r="AF13" s="158"/>
      <c r="AG13" s="158"/>
    </row>
    <row r="14" spans="1:33" s="159" customFormat="1">
      <c r="B14" s="148"/>
      <c r="C14" s="148" t="s">
        <v>3</v>
      </c>
      <c r="D14" s="13">
        <v>45870</v>
      </c>
      <c r="E14" s="14" t="s">
        <v>69</v>
      </c>
      <c r="F14" s="15" t="s">
        <v>71</v>
      </c>
      <c r="G14" s="160" t="s">
        <v>0</v>
      </c>
      <c r="H14" s="160" t="s">
        <v>4</v>
      </c>
      <c r="I14" s="148" t="s">
        <v>5</v>
      </c>
      <c r="J14" s="148" t="s">
        <v>6</v>
      </c>
      <c r="K14" s="161" t="str">
        <f>B$13&amp;"/"&amp;I14&amp;"/"&amp;C14&amp;"/"&amp;E14&amp;"/"&amp;G14&amp;"/"&amp;F14&amp;"/"&amp;J14</f>
        <v>TLT/SMART/OPT/20250801/C/86.5/USD</v>
      </c>
      <c r="L14" s="163" t="e">
        <f>(RTD($A$1,,$K14,$L$7)+RTD($A$1,,$K14,$L$8))/2</f>
        <v>#VALUE!</v>
      </c>
      <c r="M14" s="273"/>
      <c r="N14" s="17">
        <v>1</v>
      </c>
      <c r="O14" s="163" t="e">
        <f>L14*N14*H14</f>
        <v>#VALUE!</v>
      </c>
      <c r="P14" s="164" t="e">
        <f>O14-M14*H14*N14</f>
        <v>#VALUE!</v>
      </c>
      <c r="Q14" s="165" t="str">
        <f>RTD($A$1,,$K14,$Q$7)</f>
        <v>TwsRtdServer error: Cannot connect to TWS.</v>
      </c>
      <c r="R14" s="163" t="str">
        <f>RTD($A$1,,B13,$R$7)</f>
        <v>TwsRtdServer error: Cannot connect to TWS.</v>
      </c>
      <c r="S14" s="165" t="str">
        <f>RTD($A$1,,$K14,$S$7)</f>
        <v>TwsRtdServer error: Cannot connect to TWS.</v>
      </c>
      <c r="T14" s="165" t="str">
        <f>RTD($A$1,,$B13,$T$7)</f>
        <v>TwsRtdServer error: Cannot connect to TWS.</v>
      </c>
      <c r="U14" s="165" t="str">
        <f>RTD($A$1,,$K14,$U$7)</f>
        <v>TwsRtdServer error: Cannot connect to TWS.</v>
      </c>
      <c r="V14" s="165" t="str">
        <f>RTD($A$1,,$K14,$V$7)</f>
        <v>TwsRtdServer error: Cannot connect to TWS.</v>
      </c>
      <c r="W14" s="166">
        <f ca="1">IF($D14&gt;0, $D14-TODAY(), 0)</f>
        <v>2</v>
      </c>
      <c r="X14" s="167"/>
      <c r="Y14" s="3" t="e">
        <f>$N14*$H14*Q14*R14*T14</f>
        <v>#VALUE!</v>
      </c>
      <c r="Z14" s="168" t="e">
        <f>$N14*$H14*Q14*R14*U14</f>
        <v>#VALUE!</v>
      </c>
      <c r="AA14" s="168"/>
      <c r="AB14" s="4" t="e">
        <f>$N14*$H14*Q14*R14</f>
        <v>#VALUE!</v>
      </c>
      <c r="AC14" s="4"/>
      <c r="AD14" s="4" t="e">
        <f>$N14*$H14*$S14*(U14*100)</f>
        <v>#VALUE!</v>
      </c>
      <c r="AE14" s="4" t="e">
        <f ca="1">$N14*$H14*$V14*W14</f>
        <v>#VALUE!</v>
      </c>
      <c r="AF14" s="4"/>
      <c r="AG14" s="4" t="e">
        <f>IF($V$8="ON", $AB14+AD14-$AE14, $AB14+AD14)</f>
        <v>#VALUE!</v>
      </c>
    </row>
    <row r="15" spans="1:33" s="159" customFormat="1">
      <c r="B15" s="148"/>
      <c r="C15" s="148" t="s">
        <v>3</v>
      </c>
      <c r="D15" s="169">
        <f>D14</f>
        <v>45870</v>
      </c>
      <c r="E15" s="170" t="str">
        <f>E14</f>
        <v>20250801</v>
      </c>
      <c r="F15" s="160" t="str">
        <f>F14</f>
        <v>86.5</v>
      </c>
      <c r="G15" s="160" t="s">
        <v>2</v>
      </c>
      <c r="H15" s="160" t="s">
        <v>4</v>
      </c>
      <c r="I15" s="148" t="s">
        <v>5</v>
      </c>
      <c r="J15" s="148" t="s">
        <v>6</v>
      </c>
      <c r="K15" s="161" t="str">
        <f>B$13&amp;"/"&amp;I15&amp;"/"&amp;C15&amp;"/"&amp;E15&amp;"/"&amp;G15&amp;"/"&amp;F15&amp;"/"&amp;J15</f>
        <v>TLT/SMART/OPT/20250801/P/86.5/USD</v>
      </c>
      <c r="L15" s="163" t="e">
        <f>(RTD($A$1,,$K15,$L$7)+RTD($A$1,,$K15,$L$8))/2</f>
        <v>#VALUE!</v>
      </c>
      <c r="M15" s="273"/>
      <c r="N15" s="167">
        <f>N14</f>
        <v>1</v>
      </c>
      <c r="O15" s="163" t="e">
        <f>L15*N15*H15</f>
        <v>#VALUE!</v>
      </c>
      <c r="P15" s="164" t="e">
        <f>O15-M15*H15*N15</f>
        <v>#VALUE!</v>
      </c>
      <c r="Q15" s="165" t="str">
        <f>RTD($A$1,,$K15,$Q$7)</f>
        <v>TwsRtdServer error: Cannot connect to TWS.</v>
      </c>
      <c r="R15" s="163" t="str">
        <f>RTD($A$1,,B13,$R$7)</f>
        <v>TwsRtdServer error: Cannot connect to TWS.</v>
      </c>
      <c r="S15" s="165" t="str">
        <f>RTD($A$1,,$K15,$S$7)</f>
        <v>TwsRtdServer error: Cannot connect to TWS.</v>
      </c>
      <c r="T15" s="165" t="str">
        <f>RTD($A$1,,$B13,$T$7)</f>
        <v>TwsRtdServer error: Cannot connect to TWS.</v>
      </c>
      <c r="U15" s="165" t="str">
        <f>RTD($A$1,,$K15,$U$7)</f>
        <v>TwsRtdServer error: Cannot connect to TWS.</v>
      </c>
      <c r="V15" s="165" t="str">
        <f>RTD($A$1,,$K15,$V$7)</f>
        <v>TwsRtdServer error: Cannot connect to TWS.</v>
      </c>
      <c r="W15" s="166">
        <f ca="1">IF($D15&gt;0, $D15-TODAY(), 0)</f>
        <v>2</v>
      </c>
      <c r="X15" s="167"/>
      <c r="Y15" s="3" t="e">
        <f>$N15*$H15*Q15*R15*T15</f>
        <v>#VALUE!</v>
      </c>
      <c r="Z15" s="168" t="e">
        <f>$N15*$H15*Q15*R15*U15</f>
        <v>#VALUE!</v>
      </c>
      <c r="AA15" s="168"/>
      <c r="AB15" s="4" t="e">
        <f>$N15*$H15*Q15*R15</f>
        <v>#VALUE!</v>
      </c>
      <c r="AC15" s="4"/>
      <c r="AD15" s="4" t="e">
        <f>$N15*$H15*$S15*(U15*100)</f>
        <v>#VALUE!</v>
      </c>
      <c r="AE15" s="4" t="e">
        <f ca="1">$N15*$H15*$V15*W15</f>
        <v>#VALUE!</v>
      </c>
      <c r="AF15" s="4"/>
      <c r="AG15" s="4" t="e">
        <f>IF($V$8="ON", $AB15+AD15-$AE15, $AB15+AD15)</f>
        <v>#VALUE!</v>
      </c>
    </row>
    <row r="16" spans="1:33">
      <c r="E16" s="130"/>
      <c r="F16" s="186" t="e">
        <f>IF(N14&gt;0, IF(M16&gt;0, F14+M16, F14+L16), "")</f>
        <v>#VALUE!</v>
      </c>
      <c r="G16" s="131"/>
      <c r="H16" s="131"/>
      <c r="K16" s="132"/>
      <c r="L16" s="104" t="e">
        <f>L14+L15</f>
        <v>#VALUE!</v>
      </c>
      <c r="M16" s="12"/>
      <c r="O16" s="187" t="e">
        <f>IF(N14&gt;0, IF(M16&gt;0, M16*N14*H14, L16*N14*H14), "")</f>
        <v>#VALUE!</v>
      </c>
      <c r="Q16" s="134"/>
      <c r="R16" s="133"/>
      <c r="S16" s="134"/>
      <c r="T16" s="134"/>
      <c r="U16" s="134"/>
      <c r="V16" s="134"/>
      <c r="W16" s="135"/>
      <c r="X16" s="110"/>
      <c r="Y16" s="110"/>
      <c r="Z16" s="136"/>
      <c r="AA16" s="136"/>
      <c r="AB16" s="6"/>
      <c r="AC16" s="6"/>
      <c r="AD16" s="6"/>
      <c r="AE16" s="6"/>
      <c r="AF16" s="6"/>
      <c r="AG16" s="6"/>
    </row>
    <row r="17" spans="5:33">
      <c r="E17" s="130"/>
      <c r="F17" s="186" t="e">
        <f>IF(N14&gt;0, IF(M16&gt;0, F15-M16, F15-L16), "")</f>
        <v>#VALUE!</v>
      </c>
      <c r="G17" s="131"/>
      <c r="H17" s="131"/>
      <c r="K17" s="132"/>
      <c r="L17" s="133"/>
      <c r="M17" s="133"/>
      <c r="O17" s="178"/>
      <c r="Q17" s="134"/>
      <c r="R17" s="133"/>
      <c r="S17" s="134"/>
      <c r="T17" s="134"/>
      <c r="U17" s="134"/>
      <c r="V17" s="134"/>
      <c r="W17" s="135"/>
      <c r="X17" s="110"/>
      <c r="Y17" s="110"/>
      <c r="Z17" s="136"/>
      <c r="AA17" s="136"/>
      <c r="AB17" s="6"/>
      <c r="AC17" s="6"/>
      <c r="AD17" s="6"/>
      <c r="AE17" s="6"/>
      <c r="AF17" s="6"/>
      <c r="AG17" s="6"/>
    </row>
    <row r="18" spans="5:33">
      <c r="E18" s="130"/>
      <c r="F18" s="174"/>
      <c r="G18" s="131"/>
      <c r="H18" s="131"/>
      <c r="K18" s="132"/>
      <c r="L18" s="133"/>
      <c r="M18" s="133"/>
      <c r="O18" s="178"/>
      <c r="Q18" s="134"/>
      <c r="R18" s="133"/>
      <c r="S18" s="134"/>
      <c r="T18" s="134"/>
      <c r="U18" s="134"/>
      <c r="V18" s="134"/>
      <c r="W18" s="135"/>
      <c r="X18" s="110"/>
      <c r="Y18" s="110"/>
      <c r="Z18" s="136"/>
      <c r="AA18" s="136"/>
      <c r="AB18" s="6"/>
      <c r="AC18" s="6"/>
      <c r="AD18" s="6"/>
      <c r="AE18" s="6"/>
      <c r="AF18" s="6"/>
      <c r="AG18" s="6"/>
    </row>
  </sheetData>
  <sheetProtection algorithmName="SHA-512" hashValue="jgLa1Ln2+dNKPIkPm0gtoVj68O/r4rhZyc08YdvZJ450bkiklud7RTz8/hYfRIsIdTpWKslLPCIV7Ew2Ap3KPQ==" saltValue="HI673pB2QD35XVWC5neYSA==" spinCount="100000" sheet="1" selectLockedCells="1"/>
  <mergeCells count="29">
    <mergeCell ref="T5:U5"/>
    <mergeCell ref="AF5:AG5"/>
    <mergeCell ref="W5:W6"/>
    <mergeCell ref="Y5:Y6"/>
    <mergeCell ref="Z5:Z6"/>
    <mergeCell ref="AB5:AB6"/>
    <mergeCell ref="AC5:AD5"/>
    <mergeCell ref="AE5:AE6"/>
    <mergeCell ref="O5:O6"/>
    <mergeCell ref="P5:P6"/>
    <mergeCell ref="Q5:Q6"/>
    <mergeCell ref="R5:R6"/>
    <mergeCell ref="S5:S6"/>
    <mergeCell ref="L4:P4"/>
    <mergeCell ref="Y4:Z4"/>
    <mergeCell ref="AB4:AG4"/>
    <mergeCell ref="B5:B6"/>
    <mergeCell ref="C5:C6"/>
    <mergeCell ref="D5:E6"/>
    <mergeCell ref="F5:F6"/>
    <mergeCell ref="G5:G6"/>
    <mergeCell ref="H5:H6"/>
    <mergeCell ref="I5:I6"/>
    <mergeCell ref="V5:V6"/>
    <mergeCell ref="J5:J6"/>
    <mergeCell ref="K5:K6"/>
    <mergeCell ref="L5:L6"/>
    <mergeCell ref="M5:M6"/>
    <mergeCell ref="N5:N6"/>
  </mergeCells>
  <pageMargins left="0.7" right="0.7" top="0.75" bottom="0.75" header="0.3" footer="0.3"/>
  <pageSetup paperSize="9" orientation="portrait" horizontalDpi="4294967293"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734AE-498B-4205-992B-E073AA14995C}">
  <sheetPr>
    <tabColor theme="6" tint="0.59999389629810485"/>
  </sheetPr>
  <dimension ref="A1:AG33"/>
  <sheetViews>
    <sheetView topLeftCell="A2" zoomScale="90" zoomScaleNormal="90" workbookViewId="0">
      <pane xSplit="8" ySplit="7" topLeftCell="I9" activePane="bottomRight" state="frozen"/>
      <selection activeCell="B210" sqref="B210"/>
      <selection pane="topRight" activeCell="B210" sqref="B210"/>
      <selection pane="bottomLeft" activeCell="B210" sqref="B210"/>
      <selection pane="bottomRight" activeCell="B14" sqref="B14"/>
    </sheetView>
  </sheetViews>
  <sheetFormatPr defaultColWidth="9" defaultRowHeight="15"/>
  <cols>
    <col min="1" max="1" width="17.25" style="194" bestFit="1" customWidth="1"/>
    <col min="2" max="3" width="9.375" style="189" customWidth="1"/>
    <col min="4" max="4" width="18.125" style="190" customWidth="1"/>
    <col min="5" max="5" width="14.125" style="189" customWidth="1"/>
    <col min="6" max="10" width="9.375" style="189" customWidth="1"/>
    <col min="11" max="11" width="25" style="191" customWidth="1"/>
    <col min="12" max="15" width="9.375" style="192" customWidth="1"/>
    <col min="16" max="16" width="9.375" style="193" customWidth="1"/>
    <col min="17" max="23" width="9.375" style="192" customWidth="1"/>
    <col min="24" max="24" width="9.375" style="189" customWidth="1"/>
    <col min="25" max="25" width="13.875" style="189" customWidth="1"/>
    <col min="26" max="26" width="15.875" style="194" customWidth="1"/>
    <col min="27" max="27" width="9.5" style="194" customWidth="1"/>
    <col min="28" max="28" width="15.75" style="194" customWidth="1"/>
    <col min="29" max="29" width="10.75" style="194" customWidth="1"/>
    <col min="30" max="30" width="13.25" style="194" bestFit="1" customWidth="1"/>
    <col min="31" max="31" width="15.875" style="194" customWidth="1"/>
    <col min="32" max="32" width="9.375" style="194" customWidth="1"/>
    <col min="33" max="33" width="15.875" style="194" customWidth="1"/>
    <col min="34" max="16384" width="9" style="194"/>
  </cols>
  <sheetData>
    <row r="1" spans="1:33" hidden="1">
      <c r="A1" s="188" t="s">
        <v>11</v>
      </c>
    </row>
    <row r="3" spans="1:33">
      <c r="A3" s="195" t="s">
        <v>64</v>
      </c>
    </row>
    <row r="4" spans="1:33" s="198" customFormat="1">
      <c r="A4" s="196">
        <f ca="1">NOW()</f>
        <v>45868.150765856481</v>
      </c>
      <c r="B4" s="197"/>
      <c r="D4" s="199"/>
      <c r="K4" s="200"/>
      <c r="L4" s="297" t="s">
        <v>12</v>
      </c>
      <c r="M4" s="297"/>
      <c r="N4" s="297"/>
      <c r="O4" s="297"/>
      <c r="P4" s="297"/>
      <c r="Q4" s="201"/>
      <c r="R4" s="201"/>
      <c r="S4" s="201"/>
      <c r="T4" s="201"/>
      <c r="U4" s="201"/>
      <c r="V4" s="201"/>
      <c r="W4" s="201"/>
      <c r="Y4" s="297" t="s">
        <v>13</v>
      </c>
      <c r="Z4" s="297"/>
      <c r="AA4" s="202"/>
      <c r="AB4" s="297" t="s">
        <v>14</v>
      </c>
      <c r="AC4" s="297"/>
      <c r="AD4" s="297"/>
      <c r="AE4" s="297"/>
      <c r="AF4" s="297"/>
      <c r="AG4" s="297"/>
    </row>
    <row r="5" spans="1:33" s="198" customFormat="1" ht="14.25" customHeight="1">
      <c r="B5" s="292" t="s">
        <v>15</v>
      </c>
      <c r="C5" s="292" t="s">
        <v>16</v>
      </c>
      <c r="D5" s="292" t="s">
        <v>17</v>
      </c>
      <c r="E5" s="292"/>
      <c r="F5" s="292" t="s">
        <v>18</v>
      </c>
      <c r="G5" s="292" t="s">
        <v>8</v>
      </c>
      <c r="H5" s="292" t="s">
        <v>19</v>
      </c>
      <c r="I5" s="292" t="s">
        <v>20</v>
      </c>
      <c r="J5" s="292" t="s">
        <v>21</v>
      </c>
      <c r="K5" s="298" t="s">
        <v>55</v>
      </c>
      <c r="L5" s="293" t="s">
        <v>22</v>
      </c>
      <c r="M5" s="295" t="s">
        <v>23</v>
      </c>
      <c r="N5" s="295" t="s">
        <v>24</v>
      </c>
      <c r="O5" s="295" t="s">
        <v>25</v>
      </c>
      <c r="P5" s="295" t="s">
        <v>26</v>
      </c>
      <c r="Q5" s="292" t="s">
        <v>56</v>
      </c>
      <c r="R5" s="294" t="s">
        <v>27</v>
      </c>
      <c r="S5" s="292" t="s">
        <v>10</v>
      </c>
      <c r="T5" s="292" t="s">
        <v>28</v>
      </c>
      <c r="U5" s="292"/>
      <c r="V5" s="292" t="s">
        <v>9</v>
      </c>
      <c r="W5" s="294" t="s">
        <v>29</v>
      </c>
      <c r="Y5" s="293" t="s">
        <v>30</v>
      </c>
      <c r="Z5" s="293" t="s">
        <v>31</v>
      </c>
      <c r="AB5" s="293" t="s">
        <v>56</v>
      </c>
      <c r="AC5" s="293" t="s">
        <v>10</v>
      </c>
      <c r="AD5" s="293"/>
      <c r="AE5" s="293" t="s">
        <v>9</v>
      </c>
      <c r="AF5" s="293" t="s">
        <v>32</v>
      </c>
      <c r="AG5" s="293"/>
    </row>
    <row r="6" spans="1:33" s="198" customFormat="1">
      <c r="B6" s="279"/>
      <c r="C6" s="279"/>
      <c r="D6" s="279"/>
      <c r="E6" s="279"/>
      <c r="F6" s="279"/>
      <c r="G6" s="279"/>
      <c r="H6" s="279"/>
      <c r="I6" s="279"/>
      <c r="J6" s="279"/>
      <c r="K6" s="279"/>
      <c r="L6" s="292"/>
      <c r="M6" s="296"/>
      <c r="N6" s="296"/>
      <c r="O6" s="296"/>
      <c r="P6" s="296"/>
      <c r="Q6" s="292"/>
      <c r="R6" s="292"/>
      <c r="S6" s="292"/>
      <c r="T6" s="198" t="s">
        <v>30</v>
      </c>
      <c r="U6" s="198" t="s">
        <v>31</v>
      </c>
      <c r="V6" s="292"/>
      <c r="W6" s="292"/>
      <c r="Y6" s="292"/>
      <c r="Z6" s="292"/>
      <c r="AB6" s="292"/>
      <c r="AC6" s="198" t="s">
        <v>30</v>
      </c>
      <c r="AD6" s="198" t="s">
        <v>31</v>
      </c>
      <c r="AE6" s="292"/>
      <c r="AF6" s="198" t="s">
        <v>30</v>
      </c>
      <c r="AG6" s="198" t="s">
        <v>31</v>
      </c>
    </row>
    <row r="7" spans="1:33" s="203" customFormat="1">
      <c r="C7" s="204"/>
      <c r="D7" s="205"/>
      <c r="K7" s="206"/>
      <c r="L7" s="203" t="s">
        <v>57</v>
      </c>
      <c r="M7" s="207"/>
      <c r="N7" s="207"/>
      <c r="O7" s="207"/>
      <c r="P7" s="208"/>
      <c r="Q7" s="203" t="s">
        <v>58</v>
      </c>
      <c r="R7" s="203" t="s">
        <v>1</v>
      </c>
      <c r="S7" s="203" t="s">
        <v>59</v>
      </c>
      <c r="T7" s="203" t="s">
        <v>60</v>
      </c>
      <c r="U7" s="203" t="s">
        <v>61</v>
      </c>
      <c r="V7" s="203" t="s">
        <v>62</v>
      </c>
      <c r="W7" s="207"/>
    </row>
    <row r="8" spans="1:33" s="204" customFormat="1">
      <c r="D8" s="205"/>
      <c r="K8" s="206"/>
      <c r="L8" s="203" t="s">
        <v>33</v>
      </c>
      <c r="M8" s="209"/>
      <c r="N8" s="209"/>
      <c r="O8" s="209"/>
      <c r="P8" s="210"/>
      <c r="Q8" s="209"/>
      <c r="R8" s="209"/>
      <c r="S8" s="209"/>
      <c r="T8" s="209"/>
      <c r="U8" s="209"/>
      <c r="V8" s="209"/>
      <c r="W8" s="209"/>
    </row>
    <row r="9" spans="1:33" s="198" customFormat="1">
      <c r="D9" s="199"/>
      <c r="K9" s="200"/>
      <c r="L9" s="211"/>
      <c r="M9" s="201"/>
      <c r="N9" s="201"/>
      <c r="O9" s="201"/>
      <c r="P9" s="212"/>
      <c r="Q9" s="201"/>
      <c r="R9" s="201"/>
      <c r="S9" s="201"/>
      <c r="T9" s="201"/>
      <c r="U9" s="201"/>
      <c r="V9" s="201"/>
      <c r="W9" s="201"/>
    </row>
    <row r="10" spans="1:33" s="198" customFormat="1">
      <c r="D10" s="199"/>
      <c r="K10" s="200"/>
      <c r="L10" s="211"/>
      <c r="M10" s="201"/>
      <c r="N10" s="201"/>
      <c r="O10" s="201"/>
      <c r="P10" s="212"/>
      <c r="Q10" s="201"/>
      <c r="R10" s="201"/>
      <c r="S10" s="201"/>
      <c r="T10" s="201"/>
      <c r="U10" s="201"/>
      <c r="V10" s="201"/>
      <c r="W10" s="201"/>
    </row>
    <row r="11" spans="1:33" s="198" customFormat="1">
      <c r="A11" s="192" t="s">
        <v>65</v>
      </c>
      <c r="D11" s="199"/>
      <c r="K11" s="200"/>
      <c r="L11" s="211"/>
      <c r="M11" s="201"/>
      <c r="N11" s="201"/>
      <c r="O11" s="201"/>
      <c r="P11" s="212"/>
      <c r="Q11" s="201"/>
      <c r="R11" s="201"/>
      <c r="S11" s="201"/>
      <c r="T11" s="201"/>
      <c r="U11" s="201"/>
      <c r="V11" s="201"/>
      <c r="W11" s="201"/>
    </row>
    <row r="12" spans="1:33" s="213" customFormat="1">
      <c r="B12" s="214"/>
      <c r="C12" s="214"/>
      <c r="D12" s="215"/>
      <c r="E12" s="216"/>
      <c r="F12" s="217"/>
      <c r="G12" s="218"/>
      <c r="H12" s="218"/>
      <c r="I12" s="214"/>
      <c r="J12" s="214"/>
      <c r="K12" s="219"/>
      <c r="M12" s="220"/>
      <c r="N12" s="221"/>
      <c r="O12" s="220"/>
      <c r="P12" s="222"/>
      <c r="Q12" s="223"/>
      <c r="R12" s="224"/>
      <c r="S12" s="223"/>
      <c r="T12" s="223"/>
      <c r="U12" s="223"/>
      <c r="V12" s="223"/>
      <c r="W12" s="225"/>
      <c r="X12" s="221"/>
      <c r="Y12" s="3"/>
      <c r="Z12" s="226"/>
      <c r="AA12" s="226"/>
      <c r="AB12" s="4"/>
      <c r="AC12" s="4"/>
      <c r="AD12" s="4"/>
      <c r="AE12" s="4"/>
      <c r="AF12" s="4"/>
      <c r="AG12" s="4"/>
    </row>
    <row r="13" spans="1:33" s="213" customFormat="1">
      <c r="A13" s="18">
        <v>86.19</v>
      </c>
      <c r="B13" s="214"/>
      <c r="C13" s="214"/>
      <c r="D13" s="215"/>
      <c r="E13" s="216"/>
      <c r="F13" s="217"/>
      <c r="G13" s="218"/>
      <c r="H13" s="218"/>
      <c r="I13" s="214"/>
      <c r="J13" s="214"/>
      <c r="K13" s="219"/>
      <c r="M13" s="220"/>
      <c r="N13" s="221"/>
      <c r="O13" s="220"/>
      <c r="P13" s="222"/>
      <c r="Q13" s="223"/>
      <c r="R13" s="224"/>
      <c r="S13" s="223"/>
      <c r="T13" s="223"/>
      <c r="U13" s="274"/>
      <c r="V13" s="223"/>
      <c r="W13" s="225"/>
      <c r="X13" s="221"/>
      <c r="Y13" s="3"/>
      <c r="Z13" s="226"/>
      <c r="AA13" s="226"/>
      <c r="AB13" s="4"/>
      <c r="AC13" s="4"/>
      <c r="AD13" s="4"/>
      <c r="AE13" s="4"/>
      <c r="AF13" s="4"/>
      <c r="AG13" s="4"/>
    </row>
    <row r="14" spans="1:33" s="213" customFormat="1">
      <c r="A14" s="18">
        <v>87.17</v>
      </c>
      <c r="B14" s="19" t="s">
        <v>63</v>
      </c>
      <c r="C14" s="227" t="s">
        <v>7</v>
      </c>
      <c r="D14" s="228"/>
      <c r="E14" s="229"/>
      <c r="F14" s="230"/>
      <c r="G14" s="230"/>
      <c r="H14" s="230"/>
      <c r="I14" s="227"/>
      <c r="J14" s="227"/>
      <c r="K14" s="231"/>
      <c r="L14" s="232"/>
      <c r="M14" s="232"/>
      <c r="N14" s="232"/>
      <c r="O14" s="232"/>
      <c r="P14" s="233"/>
      <c r="Q14" s="234"/>
      <c r="R14" s="235"/>
      <c r="S14" s="234"/>
      <c r="T14" s="234"/>
      <c r="U14" s="234"/>
      <c r="V14" s="234"/>
      <c r="W14" s="232"/>
      <c r="X14" s="232"/>
      <c r="Y14" s="232"/>
      <c r="Z14" s="236"/>
      <c r="AA14" s="236"/>
      <c r="AB14" s="236"/>
      <c r="AC14" s="236"/>
      <c r="AD14" s="236"/>
      <c r="AE14" s="236"/>
      <c r="AF14" s="236"/>
      <c r="AG14" s="236"/>
    </row>
    <row r="15" spans="1:33" s="213" customFormat="1">
      <c r="A15" s="18">
        <v>88.15</v>
      </c>
      <c r="B15" s="237"/>
      <c r="C15" s="237"/>
      <c r="D15" s="238"/>
      <c r="E15" s="239"/>
      <c r="F15" s="240"/>
      <c r="G15" s="240"/>
      <c r="H15" s="240"/>
      <c r="I15" s="237"/>
      <c r="J15" s="237"/>
      <c r="K15" s="241"/>
      <c r="L15" s="242"/>
      <c r="M15" s="242"/>
      <c r="N15" s="242"/>
      <c r="O15" s="242"/>
      <c r="P15" s="243"/>
      <c r="Q15" s="244"/>
      <c r="R15" s="245"/>
      <c r="S15" s="244"/>
      <c r="T15" s="244"/>
      <c r="U15" s="244"/>
      <c r="V15" s="244"/>
      <c r="W15" s="242"/>
      <c r="X15" s="242"/>
      <c r="Y15" s="242"/>
      <c r="Z15" s="246"/>
      <c r="AA15" s="246"/>
      <c r="AB15" s="246"/>
      <c r="AC15" s="246"/>
      <c r="AD15" s="246"/>
      <c r="AE15" s="246"/>
      <c r="AF15" s="246"/>
      <c r="AG15" s="246"/>
    </row>
    <row r="16" spans="1:33" s="213" customFormat="1">
      <c r="B16" s="237"/>
      <c r="C16" s="237"/>
      <c r="D16" s="238"/>
      <c r="E16" s="247" t="e">
        <f ca="1">(F17-F18)/(F16-F18)</f>
        <v>#VALUE!</v>
      </c>
      <c r="F16" s="217" t="e">
        <f ca="1">F18*(1-U18/SQRT(256)*SQRT(W18))</f>
        <v>#VALUE!</v>
      </c>
      <c r="G16" s="265" t="e">
        <f ca="1">E16/(L16+1)*L16</f>
        <v>#VALUE!</v>
      </c>
      <c r="H16" s="240"/>
      <c r="I16" s="237"/>
      <c r="J16" s="237"/>
      <c r="K16" s="220"/>
      <c r="L16" s="250" t="e">
        <f>(F19-F17)/2/L20-1</f>
        <v>#VALUE!</v>
      </c>
      <c r="M16" s="250" t="str">
        <f>IF(M20&gt;0, (F19-F17)/2/M20-1, "")</f>
        <v/>
      </c>
      <c r="N16" s="242"/>
      <c r="O16" s="242"/>
      <c r="P16" s="243"/>
      <c r="Q16" s="244"/>
      <c r="R16" s="245"/>
      <c r="S16" s="244"/>
      <c r="T16" s="244"/>
      <c r="U16" s="244"/>
      <c r="V16" s="244"/>
      <c r="W16" s="242"/>
      <c r="X16" s="242"/>
      <c r="Y16" s="242"/>
      <c r="Z16" s="246"/>
      <c r="AA16" s="246"/>
      <c r="AB16" s="246"/>
      <c r="AC16" s="246"/>
      <c r="AD16" s="246"/>
      <c r="AE16" s="246"/>
      <c r="AF16" s="246"/>
      <c r="AG16" s="246"/>
    </row>
    <row r="17" spans="1:33" s="213" customFormat="1">
      <c r="B17" s="214"/>
      <c r="C17" s="214" t="s">
        <v>3</v>
      </c>
      <c r="D17" s="215">
        <f>D18</f>
        <v>45870</v>
      </c>
      <c r="E17" s="216" t="str">
        <f>E18</f>
        <v>20250801</v>
      </c>
      <c r="F17" s="20" t="s">
        <v>73</v>
      </c>
      <c r="G17" s="218" t="str">
        <f>G18</f>
        <v>P</v>
      </c>
      <c r="H17" s="218" t="s">
        <v>4</v>
      </c>
      <c r="I17" s="214" t="s">
        <v>5</v>
      </c>
      <c r="J17" s="214" t="s">
        <v>6</v>
      </c>
      <c r="K17" s="219" t="str">
        <f>B$14&amp;"/"&amp;I17&amp;"/"&amp;C17&amp;"/"&amp;E17&amp;"/"&amp;G17&amp;"/"&amp;F17&amp;"/"&amp;J17</f>
        <v>TLT/SMART/OPT/20250801/P/83/USD</v>
      </c>
      <c r="L17" s="224" t="e">
        <f>(RTD($A$1,,$K17,$L$7)+RTD($A$1,,$K17,$L$8))/2</f>
        <v>#VALUE!</v>
      </c>
      <c r="M17" s="224"/>
      <c r="N17" s="221">
        <f>N18/2*(-1)</f>
        <v>1</v>
      </c>
      <c r="O17" s="224" t="e">
        <f>L17*N17*H17</f>
        <v>#VALUE!</v>
      </c>
      <c r="P17" s="222" t="str">
        <f>IF(M17&lt;&gt;0, O17-M17*H17*N17, "")</f>
        <v/>
      </c>
      <c r="Q17" s="223" t="str">
        <f>RTD($A$1,,$K17,$Q$7)</f>
        <v>TwsRtdServer error: Cannot connect to TWS.</v>
      </c>
      <c r="R17" s="224" t="str">
        <f>RTD($A$1,,B14,$R$7)</f>
        <v>TwsRtdServer error: Cannot connect to TWS.</v>
      </c>
      <c r="S17" s="223" t="str">
        <f>RTD($A$1,,$K17,$S$7)</f>
        <v>TwsRtdServer error: Cannot connect to TWS.</v>
      </c>
      <c r="T17" s="223" t="str">
        <f>RTD($A$1,,$B14,$T$7)</f>
        <v>TwsRtdServer error: Cannot connect to TWS.</v>
      </c>
      <c r="U17" s="223" t="str">
        <f>RTD($A$1,,$K17,$U$7)</f>
        <v>TwsRtdServer error: Cannot connect to TWS.</v>
      </c>
      <c r="V17" s="223" t="str">
        <f>RTD($A$1,,$K17,$V$7)</f>
        <v>TwsRtdServer error: Cannot connect to TWS.</v>
      </c>
      <c r="W17" s="225">
        <f ca="1">IF($D17&gt;0, $D17-TODAY(), 0)</f>
        <v>2</v>
      </c>
      <c r="X17" s="221"/>
      <c r="Y17" s="3" t="e">
        <f>$N17*$H17*Q17*R17*T17</f>
        <v>#VALUE!</v>
      </c>
      <c r="Z17" s="226" t="e">
        <f>$N17*$H17*Q17*R17*U17</f>
        <v>#VALUE!</v>
      </c>
      <c r="AA17" s="226"/>
      <c r="AB17" s="4" t="e">
        <f>$N17*$H17*Q17*R17</f>
        <v>#VALUE!</v>
      </c>
      <c r="AC17" s="4"/>
      <c r="AD17" s="4" t="e">
        <f>$N17*$H17*$S17*(U17*100)</f>
        <v>#VALUE!</v>
      </c>
      <c r="AE17" s="4" t="e">
        <f ca="1">$N17*$H17*$V17*W17</f>
        <v>#VALUE!</v>
      </c>
      <c r="AF17" s="4"/>
      <c r="AG17" s="4" t="e">
        <f>IF($V$8="ON", $AB17+AD17-$AE17, $AB17+AD17)</f>
        <v>#VALUE!</v>
      </c>
    </row>
    <row r="18" spans="1:33" s="213" customFormat="1">
      <c r="B18" s="214"/>
      <c r="C18" s="214" t="s">
        <v>3</v>
      </c>
      <c r="D18" s="21">
        <v>45870</v>
      </c>
      <c r="E18" s="22" t="s">
        <v>69</v>
      </c>
      <c r="F18" s="20" t="s">
        <v>71</v>
      </c>
      <c r="G18" s="218" t="s">
        <v>2</v>
      </c>
      <c r="H18" s="218" t="s">
        <v>4</v>
      </c>
      <c r="I18" s="214" t="s">
        <v>5</v>
      </c>
      <c r="J18" s="214" t="s">
        <v>6</v>
      </c>
      <c r="K18" s="219" t="str">
        <f>B$14&amp;"/"&amp;I18&amp;"/"&amp;C18&amp;"/"&amp;E18&amp;"/"&amp;G18&amp;"/"&amp;F18&amp;"/"&amp;J18</f>
        <v>TLT/SMART/OPT/20250801/P/86.5/USD</v>
      </c>
      <c r="L18" s="224" t="e">
        <f>(RTD($A$1,,$K18,$L$7)+RTD($A$1,,$K18,$L$8))/2</f>
        <v>#VALUE!</v>
      </c>
      <c r="M18" s="224"/>
      <c r="N18" s="221">
        <v>-2</v>
      </c>
      <c r="O18" s="224" t="e">
        <f>L18*N18*H18</f>
        <v>#VALUE!</v>
      </c>
      <c r="P18" s="222" t="str">
        <f>IF(M18&lt;&gt;0, O18-M18*H18*N18, "")</f>
        <v/>
      </c>
      <c r="Q18" s="223" t="str">
        <f>RTD($A$1,,$K18,$Q$7)</f>
        <v>TwsRtdServer error: Cannot connect to TWS.</v>
      </c>
      <c r="R18" s="224" t="str">
        <f>RTD($A$1,,B14,$R$7)</f>
        <v>TwsRtdServer error: Cannot connect to TWS.</v>
      </c>
      <c r="S18" s="223" t="str">
        <f>RTD($A$1,,$K18,$S$7)</f>
        <v>TwsRtdServer error: Cannot connect to TWS.</v>
      </c>
      <c r="T18" s="223" t="str">
        <f>RTD($A$1,,$B14,$T$7)</f>
        <v>TwsRtdServer error: Cannot connect to TWS.</v>
      </c>
      <c r="U18" s="223" t="str">
        <f>RTD($A$1,,$K18,$U$7)</f>
        <v>TwsRtdServer error: Cannot connect to TWS.</v>
      </c>
      <c r="V18" s="223" t="str">
        <f>RTD($A$1,,$K18,$V$7)</f>
        <v>TwsRtdServer error: Cannot connect to TWS.</v>
      </c>
      <c r="W18" s="225">
        <f ca="1">IF($D18&gt;0, $D18-TODAY(), 0)</f>
        <v>2</v>
      </c>
      <c r="X18" s="221"/>
      <c r="Y18" s="3" t="e">
        <f>$N18*$H18*Q18*R18*T18</f>
        <v>#VALUE!</v>
      </c>
      <c r="Z18" s="226" t="e">
        <f>$N18*$H18*Q18*R18*U18</f>
        <v>#VALUE!</v>
      </c>
      <c r="AA18" s="226"/>
      <c r="AB18" s="4" t="e">
        <f>$N18*$H18*Q18*R18</f>
        <v>#VALUE!</v>
      </c>
      <c r="AC18" s="4"/>
      <c r="AD18" s="4" t="e">
        <f>$N18*$H18*$S18*(U18*100)</f>
        <v>#VALUE!</v>
      </c>
      <c r="AE18" s="4" t="e">
        <f ca="1">$N18*$H18*$V18*W18</f>
        <v>#VALUE!</v>
      </c>
      <c r="AF18" s="4"/>
      <c r="AG18" s="4" t="e">
        <f>IF($V$8="ON", $AB18+AD18-$AE18, $AB18+AD18)</f>
        <v>#VALUE!</v>
      </c>
    </row>
    <row r="19" spans="1:33" s="213" customFormat="1">
      <c r="B19" s="214"/>
      <c r="C19" s="214" t="s">
        <v>3</v>
      </c>
      <c r="D19" s="215">
        <f>D18</f>
        <v>45870</v>
      </c>
      <c r="E19" s="216" t="str">
        <f>E18</f>
        <v>20250801</v>
      </c>
      <c r="F19" s="20" t="s">
        <v>72</v>
      </c>
      <c r="G19" s="218" t="str">
        <f>G18</f>
        <v>P</v>
      </c>
      <c r="H19" s="218" t="s">
        <v>4</v>
      </c>
      <c r="I19" s="214" t="s">
        <v>5</v>
      </c>
      <c r="J19" s="214" t="s">
        <v>6</v>
      </c>
      <c r="K19" s="219" t="str">
        <f>B$14&amp;"/"&amp;I19&amp;"/"&amp;C19&amp;"/"&amp;E19&amp;"/"&amp;G19&amp;"/"&amp;F19&amp;"/"&amp;J19</f>
        <v>TLT/SMART/OPT/20250801/P/90/USD</v>
      </c>
      <c r="L19" s="224" t="e">
        <f>(RTD($A$1,,$K19,$L$7)+RTD($A$1,,$K19,$L$8))/2</f>
        <v>#VALUE!</v>
      </c>
      <c r="M19" s="224"/>
      <c r="N19" s="221">
        <f>N18/2*(-1)</f>
        <v>1</v>
      </c>
      <c r="O19" s="224" t="e">
        <f>L19*N19*H19</f>
        <v>#VALUE!</v>
      </c>
      <c r="P19" s="222" t="str">
        <f>IF(M19&lt;&gt;0, O19-M19*H19*N19, "")</f>
        <v/>
      </c>
      <c r="Q19" s="223" t="str">
        <f>RTD($A$1,,$K19,$Q$7)</f>
        <v>TwsRtdServer error: Cannot connect to TWS.</v>
      </c>
      <c r="R19" s="224" t="str">
        <f>RTD($A$1,,B14,$R$7)</f>
        <v>TwsRtdServer error: Cannot connect to TWS.</v>
      </c>
      <c r="S19" s="223" t="str">
        <f>RTD($A$1,,$K19,$S$7)</f>
        <v>TwsRtdServer error: Cannot connect to TWS.</v>
      </c>
      <c r="T19" s="223" t="str">
        <f>RTD($A$1,,$B14,$T$7)</f>
        <v>TwsRtdServer error: Cannot connect to TWS.</v>
      </c>
      <c r="U19" s="223" t="str">
        <f>RTD($A$1,,$K19,$U$7)</f>
        <v>TwsRtdServer error: Cannot connect to TWS.</v>
      </c>
      <c r="V19" s="223" t="str">
        <f>RTD($A$1,,$K19,$V$7)</f>
        <v>TwsRtdServer error: Cannot connect to TWS.</v>
      </c>
      <c r="W19" s="225">
        <f ca="1">IF($D19&gt;0, $D19-TODAY(), 0)</f>
        <v>2</v>
      </c>
      <c r="X19" s="221"/>
      <c r="Y19" s="3" t="e">
        <f>$N19*$H19*Q19*R19*T19</f>
        <v>#VALUE!</v>
      </c>
      <c r="Z19" s="226" t="e">
        <f>$N19*$H19*Q19*R19*U19</f>
        <v>#VALUE!</v>
      </c>
      <c r="AA19" s="226"/>
      <c r="AB19" s="4" t="e">
        <f>$N19*$H19*Q19*R19</f>
        <v>#VALUE!</v>
      </c>
      <c r="AC19" s="4"/>
      <c r="AD19" s="4" t="e">
        <f>$N19*$H19*$S19*(U19*100)</f>
        <v>#VALUE!</v>
      </c>
      <c r="AE19" s="4" t="e">
        <f ca="1">$N19*$H19*$V19*W19</f>
        <v>#VALUE!</v>
      </c>
      <c r="AF19" s="4"/>
      <c r="AG19" s="4" t="e">
        <f>IF($V$8="ON", $AB19+AD19-$AE19, $AB19+AD19)</f>
        <v>#VALUE!</v>
      </c>
    </row>
    <row r="20" spans="1:33" s="213" customFormat="1">
      <c r="B20" s="214"/>
      <c r="C20" s="214"/>
      <c r="D20" s="215"/>
      <c r="E20" s="247" t="e">
        <f ca="1">(F19-F18)/(F20-F18)</f>
        <v>#VALUE!</v>
      </c>
      <c r="F20" s="217" t="e">
        <f ca="1">F18*(1+U18/SQRT(256)*SQRT(W18))</f>
        <v>#VALUE!</v>
      </c>
      <c r="G20" s="265" t="e">
        <f ca="1">E20/(L16+1)*L16</f>
        <v>#VALUE!</v>
      </c>
      <c r="H20" s="218"/>
      <c r="I20" s="214"/>
      <c r="J20" s="214"/>
      <c r="K20" s="219"/>
      <c r="L20" s="251" t="e">
        <f>L17+L19-L18*2</f>
        <v>#VALUE!</v>
      </c>
      <c r="M20" s="251"/>
      <c r="N20" s="221"/>
      <c r="O20" s="220" t="e">
        <f>SUM(O17:O19)</f>
        <v>#VALUE!</v>
      </c>
      <c r="P20" s="252" t="str">
        <f>IF(SUM(P17:P19)&lt;&gt;0, SUM(P17:P19), "")</f>
        <v/>
      </c>
      <c r="Q20" s="223"/>
      <c r="R20" s="224"/>
      <c r="S20" s="223"/>
      <c r="T20" s="223"/>
      <c r="U20" s="223"/>
      <c r="V20" s="223"/>
      <c r="W20" s="225"/>
      <c r="X20" s="221"/>
      <c r="Y20" s="3"/>
      <c r="Z20" s="226"/>
      <c r="AA20" s="226"/>
      <c r="AB20" s="4"/>
      <c r="AC20" s="4"/>
      <c r="AD20" s="4"/>
      <c r="AE20" s="4"/>
      <c r="AF20" s="4"/>
      <c r="AG20" s="4"/>
    </row>
    <row r="21" spans="1:33" s="263" customFormat="1">
      <c r="A21" s="213">
        <f>A13</f>
        <v>86.19</v>
      </c>
      <c r="B21" s="253"/>
      <c r="C21" s="253"/>
      <c r="D21" s="254"/>
      <c r="E21" s="255"/>
      <c r="F21" s="256"/>
      <c r="G21" s="256"/>
      <c r="H21" s="256"/>
      <c r="I21" s="253"/>
      <c r="J21" s="253"/>
      <c r="K21" s="257"/>
      <c r="L21" s="258"/>
      <c r="M21" s="258"/>
      <c r="N21" s="258"/>
      <c r="O21" s="258"/>
      <c r="P21" s="259"/>
      <c r="Q21" s="258"/>
      <c r="R21" s="260"/>
      <c r="S21" s="261"/>
      <c r="T21" s="258"/>
      <c r="U21" s="261"/>
      <c r="V21" s="258"/>
      <c r="W21" s="262"/>
      <c r="X21" s="258"/>
      <c r="Y21" s="258"/>
      <c r="Z21" s="2"/>
      <c r="AA21" s="2"/>
      <c r="AB21" s="2"/>
      <c r="AC21" s="2"/>
      <c r="AD21" s="2"/>
      <c r="AE21" s="2"/>
      <c r="AF21" s="2"/>
      <c r="AG21" s="2"/>
    </row>
    <row r="22" spans="1:33" s="213" customFormat="1">
      <c r="A22" s="213">
        <f>A14</f>
        <v>87.17</v>
      </c>
      <c r="B22" s="227" t="str">
        <f>B14</f>
        <v>TLT</v>
      </c>
      <c r="C22" s="227" t="s">
        <v>7</v>
      </c>
      <c r="D22" s="228"/>
      <c r="E22" s="229"/>
      <c r="F22" s="230"/>
      <c r="G22" s="230"/>
      <c r="H22" s="230"/>
      <c r="I22" s="227"/>
      <c r="J22" s="227"/>
      <c r="K22" s="231"/>
      <c r="L22" s="232"/>
      <c r="M22" s="232"/>
      <c r="N22" s="232"/>
      <c r="O22" s="232"/>
      <c r="P22" s="233"/>
      <c r="Q22" s="234"/>
      <c r="R22" s="235"/>
      <c r="S22" s="234"/>
      <c r="T22" s="234"/>
      <c r="U22" s="234"/>
      <c r="V22" s="234"/>
      <c r="W22" s="232"/>
      <c r="X22" s="232"/>
      <c r="Y22" s="232"/>
      <c r="Z22" s="236"/>
      <c r="AA22" s="236"/>
      <c r="AB22" s="236"/>
      <c r="AC22" s="236"/>
      <c r="AD22" s="236"/>
      <c r="AE22" s="236"/>
      <c r="AF22" s="236"/>
      <c r="AG22" s="236"/>
    </row>
    <row r="23" spans="1:33" s="213" customFormat="1">
      <c r="A23" s="213">
        <f>A15</f>
        <v>88.15</v>
      </c>
      <c r="B23" s="237"/>
      <c r="C23" s="237"/>
      <c r="D23" s="238"/>
      <c r="E23" s="239"/>
      <c r="F23" s="240"/>
      <c r="G23" s="240"/>
      <c r="H23" s="240"/>
      <c r="I23" s="237"/>
      <c r="J23" s="237"/>
      <c r="K23" s="241"/>
      <c r="L23" s="242"/>
      <c r="M23" s="242"/>
      <c r="N23" s="242"/>
      <c r="O23" s="242"/>
      <c r="P23" s="243"/>
      <c r="Q23" s="244"/>
      <c r="R23" s="245"/>
      <c r="S23" s="244"/>
      <c r="T23" s="244"/>
      <c r="U23" s="244"/>
      <c r="V23" s="244"/>
      <c r="W23" s="242"/>
      <c r="X23" s="242"/>
      <c r="Y23" s="242"/>
      <c r="Z23" s="246"/>
      <c r="AA23" s="246"/>
      <c r="AB23" s="246"/>
      <c r="AC23" s="246"/>
      <c r="AD23" s="246"/>
      <c r="AE23" s="246"/>
      <c r="AF23" s="246"/>
      <c r="AG23" s="246"/>
    </row>
    <row r="24" spans="1:33" s="213" customFormat="1">
      <c r="B24" s="237"/>
      <c r="C24" s="237"/>
      <c r="D24" s="238"/>
      <c r="E24" s="247" t="e">
        <f ca="1">(F25-F26)/(F24-F26)</f>
        <v>#VALUE!</v>
      </c>
      <c r="F24" s="217" t="e">
        <f ca="1">F27*(1-U27/SQRT(256)*SQRT(W27))</f>
        <v>#VALUE!</v>
      </c>
      <c r="G24" s="248" t="e">
        <f ca="1">IF(M24&lt;&gt;"", E16/(M24+1)*M24, E16/(L24+1)*L24)</f>
        <v>#VALUE!</v>
      </c>
      <c r="H24" s="240"/>
      <c r="I24" s="237"/>
      <c r="J24" s="237"/>
      <c r="K24" s="220"/>
      <c r="L24" s="250" t="e">
        <f>(F19-F17)/2/L30-1</f>
        <v>#VALUE!</v>
      </c>
      <c r="M24" s="249" t="str">
        <f>IF(M30&lt;&gt;"", (F19-F17)/2/M30-1, "")</f>
        <v/>
      </c>
      <c r="N24" s="242"/>
      <c r="O24" s="242"/>
      <c r="P24" s="243"/>
      <c r="Q24" s="244"/>
      <c r="R24" s="245"/>
      <c r="S24" s="244"/>
      <c r="T24" s="244"/>
      <c r="U24" s="244"/>
      <c r="V24" s="244"/>
      <c r="W24" s="242"/>
      <c r="X24" s="242"/>
      <c r="Y24" s="242"/>
      <c r="Z24" s="246"/>
      <c r="AA24" s="246"/>
      <c r="AB24" s="246"/>
      <c r="AC24" s="246"/>
      <c r="AD24" s="246"/>
      <c r="AE24" s="246"/>
      <c r="AF24" s="246"/>
      <c r="AG24" s="246"/>
    </row>
    <row r="25" spans="1:33" s="213" customFormat="1">
      <c r="B25" s="214"/>
      <c r="C25" s="214" t="s">
        <v>3</v>
      </c>
      <c r="D25" s="215">
        <f>D26</f>
        <v>45870</v>
      </c>
      <c r="E25" s="216" t="str">
        <f>E26</f>
        <v>20250801</v>
      </c>
      <c r="F25" s="218" t="str">
        <f>F17</f>
        <v>83</v>
      </c>
      <c r="G25" s="218" t="s">
        <v>0</v>
      </c>
      <c r="H25" s="218" t="s">
        <v>4</v>
      </c>
      <c r="I25" s="214" t="s">
        <v>5</v>
      </c>
      <c r="J25" s="214" t="s">
        <v>6</v>
      </c>
      <c r="K25" s="219" t="str">
        <f>B$22&amp;"/"&amp;I25&amp;"/"&amp;C25&amp;"/"&amp;E25&amp;"/"&amp;G25&amp;"/"&amp;F25&amp;"/"&amp;J25</f>
        <v>TLT/SMART/OPT/20250801/C/83/USD</v>
      </c>
      <c r="L25" s="224" t="e">
        <f>(RTD($A$1,,$K25,$L$7)+RTD($A$1,,$K25,$L$8))/2</f>
        <v>#VALUE!</v>
      </c>
      <c r="M25" s="224"/>
      <c r="N25" s="221">
        <f>N26*(-1)</f>
        <v>1</v>
      </c>
      <c r="O25" s="224" t="e">
        <f>L25*N25*H25</f>
        <v>#VALUE!</v>
      </c>
      <c r="P25" s="222" t="str">
        <f>IF(M25&lt;&gt;0, O25-M25*H25*N25, "")</f>
        <v/>
      </c>
      <c r="Q25" s="223" t="str">
        <f>RTD($A$1,,$K25,$Q$7)</f>
        <v>TwsRtdServer error: Cannot connect to TWS.</v>
      </c>
      <c r="R25" s="224" t="str">
        <f>RTD($A$1,,B22,$R$7)</f>
        <v>TwsRtdServer error: Cannot connect to TWS.</v>
      </c>
      <c r="S25" s="223" t="str">
        <f>RTD($A$1,,$K25,$S$7)</f>
        <v>TwsRtdServer error: Cannot connect to TWS.</v>
      </c>
      <c r="T25" s="223" t="str">
        <f>RTD($A$1,,$B22,$T$7)</f>
        <v>TwsRtdServer error: Cannot connect to TWS.</v>
      </c>
      <c r="U25" s="223" t="str">
        <f>RTD($A$1,,$K25,$U$7)</f>
        <v>TwsRtdServer error: Cannot connect to TWS.</v>
      </c>
      <c r="V25" s="223" t="str">
        <f>RTD($A$1,,$K25,$V$7)</f>
        <v>TwsRtdServer error: Cannot connect to TWS.</v>
      </c>
      <c r="W25" s="225">
        <f ca="1">IF($D25&gt;0, $D25-TODAY(), 0)</f>
        <v>2</v>
      </c>
      <c r="X25" s="221"/>
      <c r="Y25" s="3" t="e">
        <f>$N25*$H25*Q25*R25*T25</f>
        <v>#VALUE!</v>
      </c>
      <c r="Z25" s="226" t="e">
        <f>$N25*$H25*Q25*R25*U25</f>
        <v>#VALUE!</v>
      </c>
      <c r="AA25" s="226"/>
      <c r="AB25" s="4" t="e">
        <f>$N25*$H25*Q25*R25</f>
        <v>#VALUE!</v>
      </c>
      <c r="AC25" s="4"/>
      <c r="AD25" s="4" t="e">
        <f>$N25*$H25*$S25*(U25*100)</f>
        <v>#VALUE!</v>
      </c>
      <c r="AE25" s="4" t="e">
        <f ca="1">$N25*$H25*$V25*W25</f>
        <v>#VALUE!</v>
      </c>
      <c r="AF25" s="4"/>
      <c r="AG25" s="4" t="e">
        <f>IF($V$8="ON", $AB25+AD25-$AE25, $AB25+AD25)</f>
        <v>#VALUE!</v>
      </c>
    </row>
    <row r="26" spans="1:33" s="213" customFormat="1">
      <c r="B26" s="214"/>
      <c r="C26" s="214" t="s">
        <v>3</v>
      </c>
      <c r="D26" s="215">
        <f>D18</f>
        <v>45870</v>
      </c>
      <c r="E26" s="216" t="str">
        <f>E18</f>
        <v>20250801</v>
      </c>
      <c r="F26" s="218" t="str">
        <f>F18</f>
        <v>86.5</v>
      </c>
      <c r="G26" s="218" t="s">
        <v>0</v>
      </c>
      <c r="H26" s="218" t="s">
        <v>4</v>
      </c>
      <c r="I26" s="214" t="s">
        <v>5</v>
      </c>
      <c r="J26" s="214" t="s">
        <v>6</v>
      </c>
      <c r="K26" s="219" t="str">
        <f>B$22&amp;"/"&amp;I26&amp;"/"&amp;C26&amp;"/"&amp;E26&amp;"/"&amp;G26&amp;"/"&amp;F26&amp;"/"&amp;J26</f>
        <v>TLT/SMART/OPT/20250801/C/86.5/USD</v>
      </c>
      <c r="L26" s="224" t="e">
        <f>(RTD($A$1,,$K26,$L$7)+RTD($A$1,,$K26,$L$8))/2</f>
        <v>#VALUE!</v>
      </c>
      <c r="M26" s="224"/>
      <c r="N26" s="23">
        <v>-1</v>
      </c>
      <c r="O26" s="224" t="e">
        <f>L26*N26*H26</f>
        <v>#VALUE!</v>
      </c>
      <c r="P26" s="222" t="str">
        <f>IF(M26&lt;&gt;0, O26-M26*H26*N26, "")</f>
        <v/>
      </c>
      <c r="Q26" s="223" t="str">
        <f>RTD($A$1,,$K26,$Q$7)</f>
        <v>TwsRtdServer error: Cannot connect to TWS.</v>
      </c>
      <c r="R26" s="224" t="str">
        <f>RTD($A$1,,B22,$R$7)</f>
        <v>TwsRtdServer error: Cannot connect to TWS.</v>
      </c>
      <c r="S26" s="223" t="str">
        <f>RTD($A$1,,$K26,$S$7)</f>
        <v>TwsRtdServer error: Cannot connect to TWS.</v>
      </c>
      <c r="T26" s="223" t="str">
        <f>RTD($A$1,,$B22,$T$7)</f>
        <v>TwsRtdServer error: Cannot connect to TWS.</v>
      </c>
      <c r="U26" s="223" t="str">
        <f>RTD($A$1,,$K26,$U$7)</f>
        <v>TwsRtdServer error: Cannot connect to TWS.</v>
      </c>
      <c r="V26" s="223" t="str">
        <f>RTD($A$1,,$K26,$V$7)</f>
        <v>TwsRtdServer error: Cannot connect to TWS.</v>
      </c>
      <c r="W26" s="225">
        <f ca="1">IF($D26&gt;0, $D26-TODAY(), 0)</f>
        <v>2</v>
      </c>
      <c r="X26" s="221"/>
      <c r="Y26" s="3" t="e">
        <f>$N26*$H26*Q26*R26*T26</f>
        <v>#VALUE!</v>
      </c>
      <c r="Z26" s="226" t="e">
        <f>$N26*$H26*Q26*R26*U26</f>
        <v>#VALUE!</v>
      </c>
      <c r="AA26" s="226"/>
      <c r="AB26" s="4" t="e">
        <f>$N26*$H26*Q26*R26</f>
        <v>#VALUE!</v>
      </c>
      <c r="AC26" s="4"/>
      <c r="AD26" s="4" t="e">
        <f>$N26*$H26*$S26*(U26*100)</f>
        <v>#VALUE!</v>
      </c>
      <c r="AE26" s="4" t="e">
        <f ca="1">$N26*$H26*$V26*W26</f>
        <v>#VALUE!</v>
      </c>
      <c r="AF26" s="4"/>
      <c r="AG26" s="4" t="e">
        <f>IF($V$8="ON", $AB26+AD26-$AE26, $AB26+AD26)</f>
        <v>#VALUE!</v>
      </c>
    </row>
    <row r="27" spans="1:33" s="213" customFormat="1">
      <c r="B27" s="214"/>
      <c r="C27" s="214" t="s">
        <v>3</v>
      </c>
      <c r="D27" s="215">
        <f>D26</f>
        <v>45870</v>
      </c>
      <c r="E27" s="216" t="str">
        <f>E26</f>
        <v>20250801</v>
      </c>
      <c r="F27" s="218" t="str">
        <f>F26</f>
        <v>86.5</v>
      </c>
      <c r="G27" s="218" t="s">
        <v>2</v>
      </c>
      <c r="H27" s="218" t="s">
        <v>4</v>
      </c>
      <c r="I27" s="214" t="s">
        <v>5</v>
      </c>
      <c r="J27" s="214" t="s">
        <v>6</v>
      </c>
      <c r="K27" s="219" t="str">
        <f>B$22&amp;"/"&amp;I27&amp;"/"&amp;C27&amp;"/"&amp;E27&amp;"/"&amp;G27&amp;"/"&amp;F27&amp;"/"&amp;J27</f>
        <v>TLT/SMART/OPT/20250801/P/86.5/USD</v>
      </c>
      <c r="L27" s="224" t="e">
        <f>(RTD($A$1,,$K27,$L$7)+RTD($A$1,,$K27,$L$8))/2</f>
        <v>#VALUE!</v>
      </c>
      <c r="M27" s="224"/>
      <c r="N27" s="221">
        <f>N26</f>
        <v>-1</v>
      </c>
      <c r="O27" s="224" t="e">
        <f>L27*N27*H27</f>
        <v>#VALUE!</v>
      </c>
      <c r="P27" s="222" t="str">
        <f>IF(M27&lt;&gt;0, O27-M27*H27*N27, "")</f>
        <v/>
      </c>
      <c r="Q27" s="223" t="str">
        <f>RTD($A$1,,$K27,$Q$7)</f>
        <v>TwsRtdServer error: Cannot connect to TWS.</v>
      </c>
      <c r="R27" s="224" t="str">
        <f>RTD($A$1,,B22,$R$7)</f>
        <v>TwsRtdServer error: Cannot connect to TWS.</v>
      </c>
      <c r="S27" s="223" t="str">
        <f>RTD($A$1,,$K27,$S$7)</f>
        <v>TwsRtdServer error: Cannot connect to TWS.</v>
      </c>
      <c r="T27" s="223" t="str">
        <f>RTD($A$1,,$B22,$T$7)</f>
        <v>TwsRtdServer error: Cannot connect to TWS.</v>
      </c>
      <c r="U27" s="223" t="str">
        <f>RTD($A$1,,$K27,$U$7)</f>
        <v>TwsRtdServer error: Cannot connect to TWS.</v>
      </c>
      <c r="V27" s="223" t="str">
        <f>RTD($A$1,,$K27,$V$7)</f>
        <v>TwsRtdServer error: Cannot connect to TWS.</v>
      </c>
      <c r="W27" s="225">
        <f ca="1">IF($D27&gt;0, $D27-TODAY(), 0)</f>
        <v>2</v>
      </c>
      <c r="X27" s="221"/>
      <c r="Y27" s="3" t="e">
        <f>$N27*$H27*Q27*R27*T27</f>
        <v>#VALUE!</v>
      </c>
      <c r="Z27" s="226" t="e">
        <f>$N27*$H27*Q27*R27*U27</f>
        <v>#VALUE!</v>
      </c>
      <c r="AA27" s="226"/>
      <c r="AB27" s="4" t="e">
        <f>$N27*$H27*Q27*R27</f>
        <v>#VALUE!</v>
      </c>
      <c r="AC27" s="4"/>
      <c r="AD27" s="4" t="e">
        <f>$N27*$H27*$S27*(U27*100)</f>
        <v>#VALUE!</v>
      </c>
      <c r="AE27" s="4" t="e">
        <f ca="1">$N27*$H27*$V27*W27</f>
        <v>#VALUE!</v>
      </c>
      <c r="AF27" s="4"/>
      <c r="AG27" s="4" t="e">
        <f>IF($V$8="ON", $AB27+AD27-$AE27, $AB27+AD27)</f>
        <v>#VALUE!</v>
      </c>
    </row>
    <row r="28" spans="1:33" s="213" customFormat="1">
      <c r="B28" s="214"/>
      <c r="C28" s="214" t="s">
        <v>3</v>
      </c>
      <c r="D28" s="215">
        <f>D26</f>
        <v>45870</v>
      </c>
      <c r="E28" s="216" t="str">
        <f>E26</f>
        <v>20250801</v>
      </c>
      <c r="F28" s="218" t="str">
        <f>F19</f>
        <v>90</v>
      </c>
      <c r="G28" s="218" t="s">
        <v>2</v>
      </c>
      <c r="H28" s="218" t="s">
        <v>4</v>
      </c>
      <c r="I28" s="214" t="s">
        <v>5</v>
      </c>
      <c r="J28" s="214" t="s">
        <v>6</v>
      </c>
      <c r="K28" s="219" t="str">
        <f>B$22&amp;"/"&amp;I28&amp;"/"&amp;C28&amp;"/"&amp;E28&amp;"/"&amp;G28&amp;"/"&amp;F28&amp;"/"&amp;J28</f>
        <v>TLT/SMART/OPT/20250801/P/90/USD</v>
      </c>
      <c r="L28" s="224" t="e">
        <f>(RTD($A$1,,$K28,$L$7)+RTD($A$1,,$K28,$L$8))/2</f>
        <v>#VALUE!</v>
      </c>
      <c r="M28" s="224"/>
      <c r="N28" s="221">
        <f>N26*(-1)</f>
        <v>1</v>
      </c>
      <c r="O28" s="224" t="e">
        <f>L28*N28*H28</f>
        <v>#VALUE!</v>
      </c>
      <c r="P28" s="222" t="str">
        <f>IF(M28&lt;&gt;0, O28-M28*H28*N28, "")</f>
        <v/>
      </c>
      <c r="Q28" s="223" t="str">
        <f>RTD($A$1,,$K28,$Q$7)</f>
        <v>TwsRtdServer error: Cannot connect to TWS.</v>
      </c>
      <c r="R28" s="224" t="str">
        <f>RTD($A$1,,B22,$R$7)</f>
        <v>TwsRtdServer error: Cannot connect to TWS.</v>
      </c>
      <c r="S28" s="223" t="str">
        <f>RTD($A$1,,$K28,$S$7)</f>
        <v>TwsRtdServer error: Cannot connect to TWS.</v>
      </c>
      <c r="T28" s="223" t="str">
        <f>RTD($A$1,,$B22,$T$7)</f>
        <v>TwsRtdServer error: Cannot connect to TWS.</v>
      </c>
      <c r="U28" s="223" t="str">
        <f>RTD($A$1,,$K28,$U$7)</f>
        <v>TwsRtdServer error: Cannot connect to TWS.</v>
      </c>
      <c r="V28" s="223" t="str">
        <f>RTD($A$1,,$K28,$V$7)</f>
        <v>TwsRtdServer error: Cannot connect to TWS.</v>
      </c>
      <c r="W28" s="225">
        <f ca="1">IF($D28&gt;0, $D28-TODAY(), 0)</f>
        <v>2</v>
      </c>
      <c r="X28" s="221"/>
      <c r="Y28" s="3" t="e">
        <f>$N28*$H28*Q28*R28*T28</f>
        <v>#VALUE!</v>
      </c>
      <c r="Z28" s="226" t="e">
        <f>$N28*$H28*Q28*R28*U28</f>
        <v>#VALUE!</v>
      </c>
      <c r="AA28" s="226"/>
      <c r="AB28" s="4" t="e">
        <f>$N28*$H28*Q28*R28</f>
        <v>#VALUE!</v>
      </c>
      <c r="AC28" s="4"/>
      <c r="AD28" s="4" t="e">
        <f>$N28*$H28*$S28*(U28*100)</f>
        <v>#VALUE!</v>
      </c>
      <c r="AE28" s="4" t="e">
        <f ca="1">$N28*$H28*$V28*W28</f>
        <v>#VALUE!</v>
      </c>
      <c r="AF28" s="4"/>
      <c r="AG28" s="4" t="e">
        <f>IF($V$8="ON", $AB28+AD28-$AE28, $AB28+AD28)</f>
        <v>#VALUE!</v>
      </c>
    </row>
    <row r="29" spans="1:33" s="213" customFormat="1">
      <c r="B29" s="214"/>
      <c r="C29" s="214"/>
      <c r="D29" s="215"/>
      <c r="E29" s="247" t="e">
        <f ca="1">(F28-F26)/(F29-F26)</f>
        <v>#VALUE!</v>
      </c>
      <c r="F29" s="217" t="e">
        <f ca="1">F27*(1+U27/SQRT(256)*SQRT(W27))</f>
        <v>#VALUE!</v>
      </c>
      <c r="G29" s="248" t="e">
        <f ca="1">IF(M24&lt;&gt;"", E20/(M24+1)*M24, E20/(L24+1)*L24)</f>
        <v>#VALUE!</v>
      </c>
      <c r="H29" s="218"/>
      <c r="I29" s="214"/>
      <c r="J29" s="214"/>
      <c r="K29" s="219"/>
      <c r="L29" s="251" t="e">
        <f>(L25+L28)-(L26+L27)</f>
        <v>#VALUE!</v>
      </c>
      <c r="M29" s="24"/>
      <c r="N29" s="264"/>
      <c r="O29" s="220" t="e">
        <f>IF(N26&lt;0, IF(M29&gt;0, M29*N25*H25, L29*N25*H25), "")</f>
        <v>#VALUE!</v>
      </c>
      <c r="P29" s="252" t="str">
        <f>IF(SUM(P25:P28)&lt;&gt;0, SUM(P25:P28), "")</f>
        <v/>
      </c>
      <c r="Q29" s="223"/>
      <c r="R29" s="224"/>
      <c r="S29" s="223"/>
      <c r="T29" s="223"/>
      <c r="U29" s="223"/>
      <c r="V29" s="223"/>
      <c r="W29" s="225"/>
      <c r="X29" s="221"/>
      <c r="Y29" s="3"/>
      <c r="Z29" s="226"/>
      <c r="AA29" s="226"/>
      <c r="AB29" s="4"/>
      <c r="AC29" s="4"/>
      <c r="AD29" s="4"/>
      <c r="AE29" s="4"/>
      <c r="AF29" s="4"/>
      <c r="AG29" s="4"/>
    </row>
    <row r="30" spans="1:33" s="213" customFormat="1">
      <c r="B30" s="214"/>
      <c r="C30" s="214"/>
      <c r="D30" s="215"/>
      <c r="E30" s="247"/>
      <c r="F30" s="217"/>
      <c r="G30" s="265"/>
      <c r="H30" s="218"/>
      <c r="I30" s="214"/>
      <c r="J30" s="214"/>
      <c r="K30" s="219"/>
      <c r="L30" s="251" t="e">
        <f>L29-(F26-F25)</f>
        <v>#VALUE!</v>
      </c>
      <c r="M30" s="266" t="str">
        <f>IF(M29&gt;0, M29-(F26-F25), "")</f>
        <v/>
      </c>
      <c r="N30" s="221"/>
      <c r="O30" s="267" t="e">
        <f>IF(N26&lt;0, IF(M29&gt;0, (M29-(F26-F25))*N25*H25, (L29-(F26-F25))*N25*H25), "")</f>
        <v>#VALUE!</v>
      </c>
      <c r="P30" s="222"/>
      <c r="Q30" s="223"/>
      <c r="R30" s="224"/>
      <c r="S30" s="223"/>
      <c r="T30" s="223"/>
      <c r="U30" s="223"/>
      <c r="V30" s="223"/>
      <c r="W30" s="225"/>
      <c r="X30" s="221"/>
      <c r="Y30" s="3"/>
      <c r="Z30" s="226"/>
      <c r="AA30" s="226"/>
      <c r="AB30" s="4"/>
      <c r="AC30" s="4"/>
      <c r="AD30" s="4"/>
      <c r="AE30" s="4"/>
      <c r="AF30" s="4"/>
      <c r="AG30" s="4"/>
    </row>
    <row r="31" spans="1:33" s="213" customFormat="1">
      <c r="B31" s="214"/>
      <c r="C31" s="214"/>
      <c r="D31" s="215"/>
      <c r="E31" s="247"/>
      <c r="F31" s="217"/>
      <c r="G31" s="265"/>
      <c r="H31" s="218"/>
      <c r="I31" s="214"/>
      <c r="J31" s="214"/>
      <c r="K31" s="219"/>
      <c r="L31" s="268"/>
      <c r="M31" s="268"/>
      <c r="N31" s="221"/>
      <c r="O31" s="220"/>
      <c r="P31" s="222"/>
      <c r="Q31" s="223"/>
      <c r="R31" s="224"/>
      <c r="S31" s="223"/>
      <c r="T31" s="223"/>
      <c r="U31" s="223"/>
      <c r="V31" s="223"/>
      <c r="W31" s="225"/>
      <c r="X31" s="221"/>
      <c r="Y31" s="3"/>
      <c r="Z31" s="226"/>
      <c r="AA31" s="226"/>
      <c r="AB31" s="4"/>
      <c r="AC31" s="4"/>
      <c r="AD31" s="4"/>
      <c r="AE31" s="4"/>
      <c r="AF31" s="4"/>
      <c r="AG31" s="4"/>
    </row>
    <row r="32" spans="1:33" s="213" customFormat="1">
      <c r="B32" s="214"/>
      <c r="C32" s="214"/>
      <c r="D32" s="215"/>
      <c r="E32" s="247"/>
      <c r="F32" s="217"/>
      <c r="G32" s="265"/>
      <c r="H32" s="218"/>
      <c r="I32" s="214"/>
      <c r="J32" s="214"/>
      <c r="K32" s="219"/>
      <c r="L32" s="268"/>
      <c r="M32" s="268"/>
      <c r="N32" s="221"/>
      <c r="O32" s="220"/>
      <c r="P32" s="222"/>
      <c r="Q32" s="223"/>
      <c r="R32" s="224"/>
      <c r="S32" s="223"/>
      <c r="T32" s="223"/>
      <c r="U32" s="223"/>
      <c r="V32" s="223"/>
      <c r="W32" s="225"/>
      <c r="X32" s="221"/>
      <c r="Y32" s="3"/>
      <c r="Z32" s="226"/>
      <c r="AA32" s="226"/>
      <c r="AB32" s="4"/>
      <c r="AC32" s="4"/>
      <c r="AD32" s="4"/>
      <c r="AE32" s="4"/>
      <c r="AF32" s="4"/>
      <c r="AG32" s="4"/>
    </row>
    <row r="33" spans="2:33" s="213" customFormat="1">
      <c r="B33" s="214"/>
      <c r="C33" s="214"/>
      <c r="D33" s="215"/>
      <c r="E33" s="247"/>
      <c r="F33" s="217"/>
      <c r="G33" s="265"/>
      <c r="H33" s="218"/>
      <c r="I33" s="214"/>
      <c r="J33" s="214"/>
      <c r="K33" s="219"/>
      <c r="L33" s="268"/>
      <c r="M33" s="268"/>
      <c r="N33" s="221"/>
      <c r="O33" s="220"/>
      <c r="P33" s="222"/>
      <c r="Q33" s="223"/>
      <c r="R33" s="224"/>
      <c r="S33" s="223"/>
      <c r="T33" s="223"/>
      <c r="U33" s="223"/>
      <c r="V33" s="223"/>
      <c r="W33" s="225"/>
      <c r="X33" s="221"/>
      <c r="Y33" s="3"/>
      <c r="Z33" s="226"/>
      <c r="AA33" s="226"/>
      <c r="AB33" s="4"/>
      <c r="AC33" s="4"/>
      <c r="AD33" s="4"/>
      <c r="AE33" s="4"/>
      <c r="AF33" s="4"/>
      <c r="AG33" s="4"/>
    </row>
  </sheetData>
  <sheetProtection algorithmName="SHA-512" hashValue="jX/85XZ3F01lm3H5kphrC5fVqR8it+sO26wsJQvYXsvM8Gg5J60PuPFimXpoLzAH5e+oczzcpp0oBMIW/lxODw==" saltValue="dlHNu3aHhAErX3UOUgSrFw==" spinCount="100000" sheet="1" objects="1" scenarios="1" selectLockedCells="1"/>
  <mergeCells count="29">
    <mergeCell ref="L4:P4"/>
    <mergeCell ref="Y4:Z4"/>
    <mergeCell ref="AB4:AG4"/>
    <mergeCell ref="B5:B6"/>
    <mergeCell ref="C5:C6"/>
    <mergeCell ref="D5:E6"/>
    <mergeCell ref="F5:F6"/>
    <mergeCell ref="G5:G6"/>
    <mergeCell ref="H5:H6"/>
    <mergeCell ref="I5:I6"/>
    <mergeCell ref="V5:V6"/>
    <mergeCell ref="J5:J6"/>
    <mergeCell ref="K5:K6"/>
    <mergeCell ref="L5:L6"/>
    <mergeCell ref="M5:M6"/>
    <mergeCell ref="N5:N6"/>
    <mergeCell ref="O5:O6"/>
    <mergeCell ref="P5:P6"/>
    <mergeCell ref="Q5:Q6"/>
    <mergeCell ref="R5:R6"/>
    <mergeCell ref="S5:S6"/>
    <mergeCell ref="T5:U5"/>
    <mergeCell ref="AF5:AG5"/>
    <mergeCell ref="W5:W6"/>
    <mergeCell ref="Y5:Y6"/>
    <mergeCell ref="Z5:Z6"/>
    <mergeCell ref="AB5:AB6"/>
    <mergeCell ref="AC5:AD5"/>
    <mergeCell ref="AE5:AE6"/>
  </mergeCells>
  <pageMargins left="0.7" right="0.7" top="0.75" bottom="0.75" header="0.3" footer="0.3"/>
  <pageSetup paperSize="9" orientation="portrait" horizontalDpi="4294967293"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73811-0407-4511-AD29-2917BE321DE4}">
  <sheetPr>
    <tabColor theme="7"/>
  </sheetPr>
  <dimension ref="A1:AG24"/>
  <sheetViews>
    <sheetView zoomScale="90" zoomScaleNormal="90" workbookViewId="0">
      <pane xSplit="7" ySplit="8" topLeftCell="H9" activePane="bottomRight" state="frozen"/>
      <selection activeCell="A2" sqref="A2"/>
      <selection pane="topRight" activeCell="H2" sqref="H2"/>
      <selection pane="bottomLeft" activeCell="A9" sqref="A9"/>
      <selection pane="bottomRight" activeCell="B13" sqref="B13"/>
    </sheetView>
  </sheetViews>
  <sheetFormatPr defaultColWidth="9" defaultRowHeight="15"/>
  <cols>
    <col min="1" max="1" width="17.25" style="112" bestFit="1" customWidth="1"/>
    <col min="2" max="3" width="9.375" style="107" customWidth="1"/>
    <col min="4" max="4" width="18.125" style="108" customWidth="1"/>
    <col min="5" max="5" width="14.125" style="107" customWidth="1"/>
    <col min="6" max="10" width="9.375" style="107" customWidth="1"/>
    <col min="11" max="11" width="25" style="109" customWidth="1"/>
    <col min="12" max="15" width="9.375" style="110" customWidth="1"/>
    <col min="16" max="16" width="9.375" style="111" customWidth="1"/>
    <col min="17" max="23" width="9.375" style="110" customWidth="1"/>
    <col min="24" max="24" width="9.375" style="107" customWidth="1"/>
    <col min="25" max="25" width="13.875" style="107" customWidth="1"/>
    <col min="26" max="26" width="15.875" style="112" customWidth="1"/>
    <col min="27" max="27" width="9.5" style="112" customWidth="1"/>
    <col min="28" max="28" width="15.75" style="112" customWidth="1"/>
    <col min="29" max="29" width="10.75" style="112" customWidth="1"/>
    <col min="30" max="30" width="13.25" style="112" bestFit="1" customWidth="1"/>
    <col min="31" max="31" width="15.875" style="112" customWidth="1"/>
    <col min="32" max="32" width="9.375" style="112" customWidth="1"/>
    <col min="33" max="33" width="15.875" style="112" customWidth="1"/>
    <col min="34" max="16384" width="9" style="112"/>
  </cols>
  <sheetData>
    <row r="1" spans="1:33" hidden="1">
      <c r="A1" s="106" t="s">
        <v>34</v>
      </c>
    </row>
    <row r="3" spans="1:33">
      <c r="A3" s="113" t="s">
        <v>51</v>
      </c>
      <c r="B3" s="113"/>
    </row>
    <row r="4" spans="1:33" s="116" customFormat="1">
      <c r="A4" s="114">
        <f ca="1">NOW()</f>
        <v>45868.150765856481</v>
      </c>
      <c r="B4" s="115"/>
      <c r="D4" s="117"/>
      <c r="K4" s="118"/>
      <c r="L4" s="285" t="s">
        <v>12</v>
      </c>
      <c r="M4" s="285"/>
      <c r="N4" s="285"/>
      <c r="O4" s="285"/>
      <c r="P4" s="285"/>
      <c r="Q4" s="119"/>
      <c r="R4" s="119"/>
      <c r="S4" s="119"/>
      <c r="T4" s="119"/>
      <c r="U4" s="119"/>
      <c r="V4" s="119"/>
      <c r="W4" s="119"/>
      <c r="Y4" s="285" t="s">
        <v>13</v>
      </c>
      <c r="Z4" s="285"/>
      <c r="AA4" s="113"/>
      <c r="AB4" s="285" t="s">
        <v>14</v>
      </c>
      <c r="AC4" s="285"/>
      <c r="AD4" s="285"/>
      <c r="AE4" s="285"/>
      <c r="AF4" s="285"/>
      <c r="AG4" s="285"/>
    </row>
    <row r="5" spans="1:33" s="116" customFormat="1" ht="14.25" customHeight="1">
      <c r="B5" s="286" t="s">
        <v>15</v>
      </c>
      <c r="C5" s="286" t="s">
        <v>16</v>
      </c>
      <c r="D5" s="286" t="s">
        <v>17</v>
      </c>
      <c r="E5" s="286"/>
      <c r="F5" s="286" t="s">
        <v>18</v>
      </c>
      <c r="G5" s="286" t="s">
        <v>8</v>
      </c>
      <c r="H5" s="286" t="s">
        <v>19</v>
      </c>
      <c r="I5" s="286" t="s">
        <v>20</v>
      </c>
      <c r="J5" s="286" t="s">
        <v>21</v>
      </c>
      <c r="K5" s="287" t="s">
        <v>35</v>
      </c>
      <c r="L5" s="288" t="s">
        <v>22</v>
      </c>
      <c r="M5" s="289" t="s">
        <v>23</v>
      </c>
      <c r="N5" s="289" t="s">
        <v>24</v>
      </c>
      <c r="O5" s="289" t="s">
        <v>25</v>
      </c>
      <c r="P5" s="289" t="s">
        <v>26</v>
      </c>
      <c r="Q5" s="286" t="s">
        <v>36</v>
      </c>
      <c r="R5" s="291" t="s">
        <v>27</v>
      </c>
      <c r="S5" s="286" t="s">
        <v>10</v>
      </c>
      <c r="T5" s="286" t="s">
        <v>28</v>
      </c>
      <c r="U5" s="286"/>
      <c r="V5" s="286" t="s">
        <v>9</v>
      </c>
      <c r="W5" s="291" t="s">
        <v>29</v>
      </c>
      <c r="Y5" s="288" t="s">
        <v>30</v>
      </c>
      <c r="Z5" s="288" t="s">
        <v>31</v>
      </c>
      <c r="AB5" s="288" t="s">
        <v>36</v>
      </c>
      <c r="AC5" s="288" t="s">
        <v>10</v>
      </c>
      <c r="AD5" s="288"/>
      <c r="AE5" s="288" t="s">
        <v>9</v>
      </c>
      <c r="AF5" s="288" t="s">
        <v>32</v>
      </c>
      <c r="AG5" s="288"/>
    </row>
    <row r="6" spans="1:33" s="116" customFormat="1">
      <c r="B6" s="279"/>
      <c r="C6" s="279"/>
      <c r="D6" s="279"/>
      <c r="E6" s="279"/>
      <c r="F6" s="279"/>
      <c r="G6" s="279"/>
      <c r="H6" s="279"/>
      <c r="I6" s="279"/>
      <c r="J6" s="279"/>
      <c r="K6" s="279"/>
      <c r="L6" s="286"/>
      <c r="M6" s="290"/>
      <c r="N6" s="290"/>
      <c r="O6" s="290"/>
      <c r="P6" s="290"/>
      <c r="Q6" s="286"/>
      <c r="R6" s="286"/>
      <c r="S6" s="286"/>
      <c r="T6" s="116" t="s">
        <v>30</v>
      </c>
      <c r="U6" s="116" t="s">
        <v>31</v>
      </c>
      <c r="V6" s="286"/>
      <c r="W6" s="286"/>
      <c r="Y6" s="286"/>
      <c r="Z6" s="286"/>
      <c r="AB6" s="286"/>
      <c r="AC6" s="116" t="s">
        <v>30</v>
      </c>
      <c r="AD6" s="116" t="s">
        <v>31</v>
      </c>
      <c r="AE6" s="286"/>
      <c r="AF6" s="116" t="s">
        <v>30</v>
      </c>
      <c r="AG6" s="116" t="s">
        <v>31</v>
      </c>
    </row>
    <row r="7" spans="1:33" s="120" customFormat="1">
      <c r="C7" s="121"/>
      <c r="D7" s="122"/>
      <c r="K7" s="123"/>
      <c r="L7" s="120" t="s">
        <v>37</v>
      </c>
      <c r="M7" s="124"/>
      <c r="N7" s="124"/>
      <c r="O7" s="124"/>
      <c r="P7" s="125"/>
      <c r="Q7" s="120" t="s">
        <v>38</v>
      </c>
      <c r="R7" s="120" t="s">
        <v>1</v>
      </c>
      <c r="S7" s="120" t="s">
        <v>39</v>
      </c>
      <c r="T7" s="120" t="s">
        <v>40</v>
      </c>
      <c r="U7" s="120" t="s">
        <v>41</v>
      </c>
      <c r="V7" s="120" t="s">
        <v>42</v>
      </c>
      <c r="W7" s="124"/>
    </row>
    <row r="8" spans="1:33" s="121" customFormat="1">
      <c r="D8" s="122"/>
      <c r="K8" s="123"/>
      <c r="L8" s="120" t="s">
        <v>33</v>
      </c>
      <c r="M8" s="126"/>
      <c r="N8" s="126"/>
      <c r="O8" s="126"/>
      <c r="P8" s="127"/>
      <c r="Q8" s="126"/>
      <c r="R8" s="126"/>
      <c r="S8" s="126"/>
      <c r="T8" s="126"/>
      <c r="U8" s="126"/>
      <c r="V8" s="126"/>
      <c r="W8" s="126"/>
    </row>
    <row r="9" spans="1:33" s="116" customFormat="1">
      <c r="D9" s="117"/>
      <c r="K9" s="118"/>
      <c r="L9" s="128"/>
      <c r="M9" s="119"/>
      <c r="N9" s="119"/>
      <c r="O9" s="119"/>
      <c r="P9" s="129"/>
      <c r="Q9" s="119"/>
      <c r="R9" s="119"/>
      <c r="S9" s="119"/>
      <c r="T9" s="119"/>
      <c r="U9" s="119"/>
      <c r="V9" s="119"/>
      <c r="W9" s="119"/>
    </row>
    <row r="10" spans="1:33">
      <c r="E10" s="130"/>
      <c r="G10" s="131"/>
      <c r="H10" s="131"/>
      <c r="K10" s="132"/>
      <c r="L10" s="133"/>
      <c r="M10" s="133"/>
      <c r="O10" s="133"/>
      <c r="Q10" s="134"/>
      <c r="R10" s="133"/>
      <c r="S10" s="134"/>
      <c r="T10" s="134"/>
      <c r="U10" s="134"/>
      <c r="V10" s="134"/>
      <c r="W10" s="135"/>
      <c r="X10" s="110"/>
      <c r="Y10" s="1"/>
      <c r="Z10" s="136"/>
      <c r="AA10" s="136"/>
      <c r="AB10" s="6"/>
      <c r="AC10" s="6"/>
      <c r="AD10" s="6"/>
      <c r="AE10" s="6"/>
      <c r="AF10" s="6"/>
      <c r="AG10" s="6"/>
    </row>
    <row r="11" spans="1:33">
      <c r="A11" s="107" t="s">
        <v>52</v>
      </c>
      <c r="E11" s="130"/>
      <c r="G11" s="131"/>
      <c r="H11" s="131"/>
      <c r="K11" s="132"/>
      <c r="L11" s="133"/>
      <c r="M11" s="133"/>
      <c r="O11" s="133"/>
      <c r="Q11" s="134"/>
      <c r="R11" s="133"/>
      <c r="S11" s="134"/>
      <c r="T11" s="134"/>
      <c r="U11" s="134"/>
      <c r="V11" s="134"/>
      <c r="W11" s="135"/>
      <c r="X11" s="110"/>
      <c r="Y11" s="1"/>
      <c r="Z11" s="136"/>
      <c r="AA11" s="136"/>
      <c r="AB11" s="6"/>
      <c r="AC11" s="6"/>
      <c r="AD11" s="6"/>
      <c r="AE11" s="6"/>
      <c r="AF11" s="6"/>
      <c r="AG11" s="6"/>
    </row>
    <row r="12" spans="1:33" s="147" customFormat="1">
      <c r="B12" s="137"/>
      <c r="C12" s="137"/>
      <c r="D12" s="138"/>
      <c r="E12" s="139"/>
      <c r="F12" s="140"/>
      <c r="G12" s="140"/>
      <c r="H12" s="140"/>
      <c r="I12" s="137"/>
      <c r="J12" s="137"/>
      <c r="K12" s="141"/>
      <c r="L12" s="142"/>
      <c r="M12" s="142"/>
      <c r="N12" s="142"/>
      <c r="O12" s="142"/>
      <c r="P12" s="143"/>
      <c r="Q12" s="142"/>
      <c r="R12" s="144"/>
      <c r="S12" s="145"/>
      <c r="T12" s="142"/>
      <c r="U12" s="145"/>
      <c r="V12" s="142"/>
      <c r="W12" s="146"/>
      <c r="X12" s="142"/>
      <c r="Y12" s="142"/>
      <c r="Z12" s="2"/>
      <c r="AA12" s="2"/>
      <c r="AB12" s="2"/>
      <c r="AC12" s="2"/>
      <c r="AD12" s="2"/>
      <c r="AE12" s="2"/>
      <c r="AF12" s="2"/>
      <c r="AG12" s="2"/>
    </row>
    <row r="13" spans="1:33" s="159" customFormat="1">
      <c r="A13" s="167"/>
      <c r="B13" s="184" t="s">
        <v>63</v>
      </c>
      <c r="C13" s="149" t="s">
        <v>44</v>
      </c>
      <c r="D13" s="150"/>
      <c r="E13" s="151"/>
      <c r="F13" s="152"/>
      <c r="G13" s="152"/>
      <c r="H13" s="152"/>
      <c r="I13" s="149"/>
      <c r="J13" s="149"/>
      <c r="K13" s="153"/>
      <c r="L13" s="269" t="e">
        <f>(L14-L15)/(F15-F14-(L14-L15))</f>
        <v>#VALUE!</v>
      </c>
      <c r="M13" s="269" t="str">
        <f>IF(M16&gt;0, M16/(F15-F14-M16), "")</f>
        <v/>
      </c>
      <c r="N13" s="154"/>
      <c r="O13" s="154"/>
      <c r="P13" s="155"/>
      <c r="Q13" s="156"/>
      <c r="R13" s="157"/>
      <c r="S13" s="156"/>
      <c r="T13" s="156"/>
      <c r="U13" s="156"/>
      <c r="V13" s="156"/>
      <c r="W13" s="154"/>
      <c r="X13" s="154"/>
      <c r="Y13" s="154"/>
      <c r="Z13" s="158"/>
      <c r="AA13" s="158"/>
      <c r="AB13" s="158"/>
      <c r="AC13" s="158"/>
      <c r="AD13" s="158"/>
      <c r="AE13" s="158"/>
      <c r="AF13" s="158"/>
      <c r="AG13" s="158"/>
    </row>
    <row r="14" spans="1:33" s="159" customFormat="1">
      <c r="B14" s="148"/>
      <c r="C14" s="148" t="s">
        <v>3</v>
      </c>
      <c r="D14" s="13">
        <v>45870</v>
      </c>
      <c r="E14" s="14" t="s">
        <v>69</v>
      </c>
      <c r="F14" s="15" t="s">
        <v>70</v>
      </c>
      <c r="G14" s="160" t="s">
        <v>0</v>
      </c>
      <c r="H14" s="160" t="s">
        <v>4</v>
      </c>
      <c r="I14" s="148" t="s">
        <v>5</v>
      </c>
      <c r="J14" s="148" t="s">
        <v>6</v>
      </c>
      <c r="K14" s="161" t="str">
        <f>B$13&amp;"/"&amp;I14&amp;"/"&amp;C14&amp;"/"&amp;E14&amp;"/"&amp;G14&amp;"/"&amp;F14&amp;"/"&amp;J14</f>
        <v>TLT/SMART/OPT/20250801/C/86/USD</v>
      </c>
      <c r="L14" s="163" t="e">
        <f>(RTD($A$1,,$K14,$L$7)+RTD($A$1,,$K14,$L$8))/2</f>
        <v>#VALUE!</v>
      </c>
      <c r="M14" s="273"/>
      <c r="N14" s="17">
        <v>-1</v>
      </c>
      <c r="O14" s="163" t="e">
        <f>L14*N14*H14</f>
        <v>#VALUE!</v>
      </c>
      <c r="P14" s="164" t="e">
        <f>O14-M14*H14*N14</f>
        <v>#VALUE!</v>
      </c>
      <c r="Q14" s="165" t="str">
        <f>RTD($A$1,,$K14,$Q$7)</f>
        <v>TwsRtdServer error: Cannot connect to TWS.</v>
      </c>
      <c r="R14" s="163" t="str">
        <f>RTD($A$1,,B13,$R$7)</f>
        <v>TwsRtdServer error: Cannot connect to TWS.</v>
      </c>
      <c r="S14" s="165" t="str">
        <f>RTD($A$1,,$K14,$S$7)</f>
        <v>TwsRtdServer error: Cannot connect to TWS.</v>
      </c>
      <c r="T14" s="165" t="str">
        <f>RTD($A$1,,$B13,$T$7)</f>
        <v>TwsRtdServer error: Cannot connect to TWS.</v>
      </c>
      <c r="U14" s="165" t="str">
        <f>RTD($A$1,,$K14,$U$7)</f>
        <v>TwsRtdServer error: Cannot connect to TWS.</v>
      </c>
      <c r="V14" s="165" t="str">
        <f>RTD($A$1,,$K14,$V$7)</f>
        <v>TwsRtdServer error: Cannot connect to TWS.</v>
      </c>
      <c r="W14" s="166">
        <f ca="1">IF($D14&gt;0, $D14-TODAY(), 0)</f>
        <v>2</v>
      </c>
      <c r="X14" s="167"/>
      <c r="Y14" s="3" t="e">
        <f>$N14*$H14*Q14*R14*T14</f>
        <v>#VALUE!</v>
      </c>
      <c r="Z14" s="168" t="e">
        <f>$N14*$H14*Q14*R14*U14</f>
        <v>#VALUE!</v>
      </c>
      <c r="AA14" s="168"/>
      <c r="AB14" s="4" t="e">
        <f>$N14*$H14*Q14*R14</f>
        <v>#VALUE!</v>
      </c>
      <c r="AC14" s="4"/>
      <c r="AD14" s="4" t="e">
        <f>$N14*$H14*$S14*(U14*100)</f>
        <v>#VALUE!</v>
      </c>
      <c r="AE14" s="4" t="e">
        <f ca="1">$N14*$H14*$V14*W14</f>
        <v>#VALUE!</v>
      </c>
      <c r="AF14" s="4"/>
      <c r="AG14" s="4" t="e">
        <f>IF($V$8="ON", $AB14+AD14-$AE14, $AB14+AD14)</f>
        <v>#VALUE!</v>
      </c>
    </row>
    <row r="15" spans="1:33" s="159" customFormat="1">
      <c r="B15" s="148"/>
      <c r="C15" s="148" t="s">
        <v>3</v>
      </c>
      <c r="D15" s="169">
        <f>D14</f>
        <v>45870</v>
      </c>
      <c r="E15" s="170" t="str">
        <f>E14</f>
        <v>20250801</v>
      </c>
      <c r="F15" s="15" t="s">
        <v>71</v>
      </c>
      <c r="G15" s="160" t="s">
        <v>0</v>
      </c>
      <c r="H15" s="160" t="s">
        <v>4</v>
      </c>
      <c r="I15" s="148" t="s">
        <v>5</v>
      </c>
      <c r="J15" s="148" t="s">
        <v>6</v>
      </c>
      <c r="K15" s="161" t="str">
        <f>B$13&amp;"/"&amp;I15&amp;"/"&amp;C15&amp;"/"&amp;E15&amp;"/"&amp;G15&amp;"/"&amp;F15&amp;"/"&amp;J15</f>
        <v>TLT/SMART/OPT/20250801/C/86.5/USD</v>
      </c>
      <c r="L15" s="163" t="e">
        <f>(RTD($A$1,,$K15,$L$7)+RTD($A$1,,$K15,$L$8))/2</f>
        <v>#VALUE!</v>
      </c>
      <c r="M15" s="273"/>
      <c r="N15" s="167">
        <f>IF(N14&lt;0, N14*(-1), 0)</f>
        <v>1</v>
      </c>
      <c r="O15" s="163" t="e">
        <f>L15*N15*H15</f>
        <v>#VALUE!</v>
      </c>
      <c r="P15" s="164" t="e">
        <f>O15-M15*H15*N15</f>
        <v>#VALUE!</v>
      </c>
      <c r="Q15" s="165" t="str">
        <f>RTD($A$1,,$K15,$Q$7)</f>
        <v>TwsRtdServer error: Cannot connect to TWS.</v>
      </c>
      <c r="R15" s="163" t="str">
        <f>RTD($A$1,,B13,$R$7)</f>
        <v>TwsRtdServer error: Cannot connect to TWS.</v>
      </c>
      <c r="S15" s="165" t="str">
        <f>RTD($A$1,,$K15,$S$7)</f>
        <v>TwsRtdServer error: Cannot connect to TWS.</v>
      </c>
      <c r="T15" s="165" t="str">
        <f>RTD($A$1,,$B13,$T$7)</f>
        <v>TwsRtdServer error: Cannot connect to TWS.</v>
      </c>
      <c r="U15" s="165" t="str">
        <f>RTD($A$1,,$K15,$U$7)</f>
        <v>TwsRtdServer error: Cannot connect to TWS.</v>
      </c>
      <c r="V15" s="165" t="str">
        <f>RTD($A$1,,$K15,$V$7)</f>
        <v>TwsRtdServer error: Cannot connect to TWS.</v>
      </c>
      <c r="W15" s="166">
        <f ca="1">IF($D15&gt;0, $D15-TODAY(), 0)</f>
        <v>2</v>
      </c>
      <c r="X15" s="167"/>
      <c r="Y15" s="3" t="e">
        <f>$N15*$H15*Q15*R15*T15</f>
        <v>#VALUE!</v>
      </c>
      <c r="Z15" s="168" t="e">
        <f>$N15*$H15*Q15*R15*U15</f>
        <v>#VALUE!</v>
      </c>
      <c r="AA15" s="168"/>
      <c r="AB15" s="4" t="e">
        <f>$N15*$H15*Q15*R15</f>
        <v>#VALUE!</v>
      </c>
      <c r="AC15" s="4"/>
      <c r="AD15" s="4" t="e">
        <f>$N15*$H15*$S15*(U15*100)</f>
        <v>#VALUE!</v>
      </c>
      <c r="AE15" s="4" t="e">
        <f ca="1">$N15*$H15*$V15*W15</f>
        <v>#VALUE!</v>
      </c>
      <c r="AF15" s="4"/>
      <c r="AG15" s="4" t="e">
        <f>IF($V$8="ON", $AB15+AD15-$AE15, $AB15+AD15)</f>
        <v>#VALUE!</v>
      </c>
    </row>
    <row r="16" spans="1:33" s="183" customFormat="1">
      <c r="B16" s="171"/>
      <c r="C16" s="171"/>
      <c r="D16" s="172"/>
      <c r="E16" s="173"/>
      <c r="F16" s="186" t="e">
        <f>IF(N14&lt;0, IF(M16&gt;0, F14+M16, F14+L16), "")</f>
        <v>#VALUE!</v>
      </c>
      <c r="G16" s="175"/>
      <c r="H16" s="175"/>
      <c r="I16" s="171"/>
      <c r="J16" s="171"/>
      <c r="K16" s="176"/>
      <c r="L16" s="104" t="e">
        <f>L14-L15</f>
        <v>#VALUE!</v>
      </c>
      <c r="M16" s="12"/>
      <c r="N16" s="177"/>
      <c r="O16" s="187" t="e">
        <f>IF(N14&lt;0, IF(M16&gt;0, (F15-F14-M16)*N15*H14, (F15-F14-L16)*N15*H14), "")</f>
        <v>#VALUE!</v>
      </c>
      <c r="P16" s="179"/>
      <c r="Q16" s="177"/>
      <c r="R16" s="180"/>
      <c r="S16" s="181"/>
      <c r="T16" s="177"/>
      <c r="U16" s="181"/>
      <c r="V16" s="177"/>
      <c r="W16" s="182"/>
      <c r="X16" s="177"/>
      <c r="Y16" s="177"/>
      <c r="Z16" s="5"/>
      <c r="AA16" s="5"/>
      <c r="AB16" s="5"/>
      <c r="AC16" s="5"/>
      <c r="AD16" s="5"/>
      <c r="AE16" s="5"/>
      <c r="AF16" s="5"/>
      <c r="AG16" s="5"/>
    </row>
    <row r="17" spans="1:33" s="183" customFormat="1">
      <c r="B17" s="171"/>
      <c r="C17" s="171"/>
      <c r="D17" s="172"/>
      <c r="E17" s="173"/>
      <c r="F17" s="186"/>
      <c r="G17" s="175"/>
      <c r="H17" s="175"/>
      <c r="I17" s="171"/>
      <c r="J17" s="171"/>
      <c r="K17" s="176"/>
      <c r="L17" s="177"/>
      <c r="M17" s="177"/>
      <c r="N17" s="177"/>
      <c r="O17" s="187"/>
      <c r="P17" s="179"/>
      <c r="Q17" s="177"/>
      <c r="R17" s="180"/>
      <c r="S17" s="181"/>
      <c r="T17" s="177"/>
      <c r="U17" s="181"/>
      <c r="V17" s="177"/>
      <c r="W17" s="182"/>
      <c r="X17" s="177"/>
      <c r="Y17" s="177"/>
      <c r="Z17" s="5"/>
      <c r="AA17" s="5"/>
      <c r="AB17" s="5"/>
      <c r="AC17" s="5"/>
      <c r="AD17" s="5"/>
      <c r="AE17" s="5"/>
      <c r="AF17" s="5"/>
      <c r="AG17" s="5"/>
    </row>
    <row r="18" spans="1:33" s="183" customFormat="1">
      <c r="A18" s="107" t="s">
        <v>53</v>
      </c>
      <c r="B18" s="171"/>
      <c r="C18" s="171"/>
      <c r="D18" s="172"/>
      <c r="E18" s="173"/>
      <c r="F18" s="186"/>
      <c r="G18" s="175"/>
      <c r="H18" s="175"/>
      <c r="I18" s="171"/>
      <c r="J18" s="171"/>
      <c r="K18" s="176"/>
      <c r="L18" s="177"/>
      <c r="M18" s="177"/>
      <c r="N18" s="177"/>
      <c r="O18" s="187"/>
      <c r="P18" s="179"/>
      <c r="Q18" s="177"/>
      <c r="R18" s="180"/>
      <c r="S18" s="181"/>
      <c r="T18" s="177"/>
      <c r="U18" s="181"/>
      <c r="V18" s="177"/>
      <c r="W18" s="182"/>
      <c r="X18" s="177"/>
      <c r="Y18" s="177"/>
      <c r="Z18" s="5"/>
      <c r="AA18" s="5"/>
      <c r="AB18" s="5"/>
      <c r="AC18" s="5"/>
      <c r="AD18" s="5"/>
      <c r="AE18" s="5"/>
      <c r="AF18" s="5"/>
      <c r="AG18" s="5"/>
    </row>
    <row r="19" spans="1:33" s="183" customFormat="1">
      <c r="B19" s="171"/>
      <c r="C19" s="171"/>
      <c r="D19" s="172"/>
      <c r="E19" s="173"/>
      <c r="F19" s="186"/>
      <c r="G19" s="175"/>
      <c r="H19" s="175"/>
      <c r="I19" s="171"/>
      <c r="J19" s="171"/>
      <c r="K19" s="176"/>
      <c r="L19" s="177"/>
      <c r="M19" s="177"/>
      <c r="N19" s="177"/>
      <c r="O19" s="187"/>
      <c r="P19" s="179"/>
      <c r="Q19" s="177"/>
      <c r="R19" s="180"/>
      <c r="S19" s="181"/>
      <c r="T19" s="177"/>
      <c r="U19" s="181"/>
      <c r="V19" s="177"/>
      <c r="W19" s="182"/>
      <c r="X19" s="177"/>
      <c r="Y19" s="177"/>
      <c r="Z19" s="5"/>
      <c r="AA19" s="5"/>
      <c r="AB19" s="5"/>
      <c r="AC19" s="5"/>
      <c r="AD19" s="5"/>
      <c r="AE19" s="5"/>
      <c r="AF19" s="5"/>
      <c r="AG19" s="5"/>
    </row>
    <row r="20" spans="1:33" s="159" customFormat="1">
      <c r="A20" s="167"/>
      <c r="B20" s="184" t="s">
        <v>63</v>
      </c>
      <c r="C20" s="149" t="s">
        <v>44</v>
      </c>
      <c r="D20" s="150"/>
      <c r="E20" s="151"/>
      <c r="F20" s="152"/>
      <c r="G20" s="152"/>
      <c r="H20" s="152"/>
      <c r="I20" s="149"/>
      <c r="J20" s="149"/>
      <c r="K20" s="153"/>
      <c r="L20" s="269" t="e">
        <f>(L21-L22)/(F21-F22-(L21-L22))</f>
        <v>#VALUE!</v>
      </c>
      <c r="M20" s="269" t="str">
        <f>IF(M23&gt;0, M23/(F21-F22-M23), "")</f>
        <v/>
      </c>
      <c r="N20" s="154"/>
      <c r="O20" s="154"/>
      <c r="P20" s="155"/>
      <c r="Q20" s="156"/>
      <c r="R20" s="157"/>
      <c r="S20" s="156"/>
      <c r="T20" s="156"/>
      <c r="U20" s="156"/>
      <c r="V20" s="156"/>
      <c r="W20" s="154"/>
      <c r="X20" s="154"/>
      <c r="Y20" s="154"/>
      <c r="Z20" s="158"/>
      <c r="AA20" s="158"/>
      <c r="AB20" s="158"/>
      <c r="AC20" s="158"/>
      <c r="AD20" s="158"/>
      <c r="AE20" s="158"/>
      <c r="AF20" s="158"/>
      <c r="AG20" s="158"/>
    </row>
    <row r="21" spans="1:33" s="159" customFormat="1">
      <c r="B21" s="148"/>
      <c r="C21" s="148" t="s">
        <v>3</v>
      </c>
      <c r="D21" s="13">
        <v>45870</v>
      </c>
      <c r="E21" s="14" t="s">
        <v>69</v>
      </c>
      <c r="F21" s="15" t="s">
        <v>74</v>
      </c>
      <c r="G21" s="160" t="s">
        <v>2</v>
      </c>
      <c r="H21" s="160" t="s">
        <v>4</v>
      </c>
      <c r="I21" s="148" t="s">
        <v>5</v>
      </c>
      <c r="J21" s="148" t="s">
        <v>6</v>
      </c>
      <c r="K21" s="161" t="str">
        <f>B$20&amp;"/"&amp;I21&amp;"/"&amp;C21&amp;"/"&amp;E21&amp;"/"&amp;G21&amp;"/"&amp;F21&amp;"/"&amp;J21</f>
        <v>TLT/SMART/OPT/20250801/P/85.5/USD</v>
      </c>
      <c r="L21" s="163" t="e">
        <f>(RTD($A$1,,$K21,$L$7)+RTD($A$1,,$K21,$L$8))/2</f>
        <v>#VALUE!</v>
      </c>
      <c r="M21" s="273"/>
      <c r="N21" s="17">
        <v>-1</v>
      </c>
      <c r="O21" s="163" t="e">
        <f>L21*N21*H21</f>
        <v>#VALUE!</v>
      </c>
      <c r="P21" s="164" t="e">
        <f>O21-M21*H21*N21</f>
        <v>#VALUE!</v>
      </c>
      <c r="Q21" s="165" t="str">
        <f>RTD($A$1,,$K21,$Q$7)</f>
        <v>TwsRtdServer error: Cannot connect to TWS.</v>
      </c>
      <c r="R21" s="163" t="str">
        <f>RTD($A$1,,B20,$R$7)</f>
        <v>TwsRtdServer error: Cannot connect to TWS.</v>
      </c>
      <c r="S21" s="165" t="str">
        <f>RTD($A$1,,$K21,$S$7)</f>
        <v>TwsRtdServer error: Cannot connect to TWS.</v>
      </c>
      <c r="T21" s="165" t="str">
        <f>RTD($A$1,,$B20,$T$7)</f>
        <v>TwsRtdServer error: Cannot connect to TWS.</v>
      </c>
      <c r="U21" s="165" t="str">
        <f>RTD($A$1,,$K21,$U$7)</f>
        <v>TwsRtdServer error: Cannot connect to TWS.</v>
      </c>
      <c r="V21" s="165" t="str">
        <f>RTD($A$1,,$K21,$V$7)</f>
        <v>TwsRtdServer error: Cannot connect to TWS.</v>
      </c>
      <c r="W21" s="166">
        <f ca="1">IF($D21&gt;0, $D21-TODAY(), 0)</f>
        <v>2</v>
      </c>
      <c r="X21" s="167"/>
      <c r="Y21" s="3" t="e">
        <f>$N21*$H21*Q21*R21*T21</f>
        <v>#VALUE!</v>
      </c>
      <c r="Z21" s="168" t="e">
        <f>$N21*$H21*Q21*R21*U21</f>
        <v>#VALUE!</v>
      </c>
      <c r="AA21" s="168"/>
      <c r="AB21" s="4" t="e">
        <f>$N21*$H21*Q21*R21</f>
        <v>#VALUE!</v>
      </c>
      <c r="AC21" s="4"/>
      <c r="AD21" s="4" t="e">
        <f>$N21*$H21*$S21*(U21*100)</f>
        <v>#VALUE!</v>
      </c>
      <c r="AE21" s="4" t="e">
        <f ca="1">$N21*$H21*$V21*W21</f>
        <v>#VALUE!</v>
      </c>
      <c r="AF21" s="4"/>
      <c r="AG21" s="4" t="e">
        <f>IF($V$8="ON", $AB21+AD21-$AE21, $AB21+AD21)</f>
        <v>#VALUE!</v>
      </c>
    </row>
    <row r="22" spans="1:33" s="159" customFormat="1">
      <c r="B22" s="148"/>
      <c r="C22" s="148" t="s">
        <v>3</v>
      </c>
      <c r="D22" s="169">
        <f>D21</f>
        <v>45870</v>
      </c>
      <c r="E22" s="170" t="str">
        <f>E21</f>
        <v>20250801</v>
      </c>
      <c r="F22" s="15" t="s">
        <v>75</v>
      </c>
      <c r="G22" s="160" t="s">
        <v>2</v>
      </c>
      <c r="H22" s="160" t="s">
        <v>4</v>
      </c>
      <c r="I22" s="148" t="s">
        <v>5</v>
      </c>
      <c r="J22" s="148" t="s">
        <v>6</v>
      </c>
      <c r="K22" s="161" t="str">
        <f>B$20&amp;"/"&amp;I22&amp;"/"&amp;C22&amp;"/"&amp;E22&amp;"/"&amp;G22&amp;"/"&amp;F22&amp;"/"&amp;J22</f>
        <v>TLT/SMART/OPT/20250801/P/85/USD</v>
      </c>
      <c r="L22" s="163" t="e">
        <f>(RTD($A$1,,$K22,$L$7)+RTD($A$1,,$K22,$L$8))/2</f>
        <v>#VALUE!</v>
      </c>
      <c r="M22" s="273"/>
      <c r="N22" s="167">
        <f>IF(N21&lt;0, N21*(-1), 0)</f>
        <v>1</v>
      </c>
      <c r="O22" s="163" t="e">
        <f>L22*N22*H22</f>
        <v>#VALUE!</v>
      </c>
      <c r="P22" s="164" t="e">
        <f>O22-M22*H22*N22</f>
        <v>#VALUE!</v>
      </c>
      <c r="Q22" s="165" t="str">
        <f>RTD($A$1,,$K22,$Q$7)</f>
        <v>TwsRtdServer error: Cannot connect to TWS.</v>
      </c>
      <c r="R22" s="163" t="str">
        <f>RTD($A$1,,B20,$R$7)</f>
        <v>TwsRtdServer error: Cannot connect to TWS.</v>
      </c>
      <c r="S22" s="165" t="str">
        <f>RTD($A$1,,$K22,$S$7)</f>
        <v>TwsRtdServer error: Cannot connect to TWS.</v>
      </c>
      <c r="T22" s="165" t="str">
        <f>RTD($A$1,,$B20,$T$7)</f>
        <v>TwsRtdServer error: Cannot connect to TWS.</v>
      </c>
      <c r="U22" s="165" t="str">
        <f>RTD($A$1,,$K22,$U$7)</f>
        <v>TwsRtdServer error: Cannot connect to TWS.</v>
      </c>
      <c r="V22" s="165" t="str">
        <f>RTD($A$1,,$K22,$V$7)</f>
        <v>TwsRtdServer error: Cannot connect to TWS.</v>
      </c>
      <c r="W22" s="166">
        <f ca="1">IF($D22&gt;0, $D22-TODAY(), 0)</f>
        <v>2</v>
      </c>
      <c r="X22" s="167"/>
      <c r="Y22" s="3" t="e">
        <f>$N22*$H22*Q22*R22*T22</f>
        <v>#VALUE!</v>
      </c>
      <c r="Z22" s="168" t="e">
        <f>$N22*$H22*Q22*R22*U22</f>
        <v>#VALUE!</v>
      </c>
      <c r="AA22" s="168"/>
      <c r="AB22" s="4" t="e">
        <f>$N22*$H22*Q22*R22</f>
        <v>#VALUE!</v>
      </c>
      <c r="AC22" s="4"/>
      <c r="AD22" s="4" t="e">
        <f>$N22*$H22*$S22*(U22*100)</f>
        <v>#VALUE!</v>
      </c>
      <c r="AE22" s="4" t="e">
        <f ca="1">$N22*$H22*$V22*W22</f>
        <v>#VALUE!</v>
      </c>
      <c r="AF22" s="4"/>
      <c r="AG22" s="4" t="e">
        <f>IF($V$8="ON", $AB22+AD22-$AE22, $AB22+AD22)</f>
        <v>#VALUE!</v>
      </c>
    </row>
    <row r="23" spans="1:33" s="183" customFormat="1">
      <c r="B23" s="171"/>
      <c r="C23" s="171"/>
      <c r="D23" s="172"/>
      <c r="E23" s="173"/>
      <c r="F23" s="186" t="e">
        <f>IF(N21&lt;0, IF(M23&gt;0, F21-M23, F21-L23), "")</f>
        <v>#VALUE!</v>
      </c>
      <c r="G23" s="175"/>
      <c r="H23" s="175"/>
      <c r="I23" s="171"/>
      <c r="J23" s="171"/>
      <c r="K23" s="176"/>
      <c r="L23" s="104" t="e">
        <f>L21-L22</f>
        <v>#VALUE!</v>
      </c>
      <c r="M23" s="12"/>
      <c r="N23" s="177"/>
      <c r="O23" s="187" t="e">
        <f>IF(N21&lt;0, IF(M23&gt;0, (F21-F22-M23)*N22*H21, (F21-F22-L23)*N22*H21), "")</f>
        <v>#VALUE!</v>
      </c>
      <c r="P23" s="179"/>
      <c r="Q23" s="177"/>
      <c r="R23" s="180"/>
      <c r="S23" s="181"/>
      <c r="T23" s="177"/>
      <c r="U23" s="181"/>
      <c r="V23" s="177"/>
      <c r="W23" s="182"/>
      <c r="X23" s="177"/>
      <c r="Y23" s="177"/>
      <c r="Z23" s="5"/>
      <c r="AA23" s="5"/>
      <c r="AB23" s="5"/>
      <c r="AC23" s="5"/>
      <c r="AD23" s="5"/>
      <c r="AE23" s="5"/>
      <c r="AF23" s="5"/>
      <c r="AG23" s="5"/>
    </row>
    <row r="24" spans="1:33" s="183" customFormat="1">
      <c r="B24" s="171"/>
      <c r="C24" s="171"/>
      <c r="D24" s="172"/>
      <c r="E24" s="173"/>
      <c r="F24" s="186"/>
      <c r="G24" s="175"/>
      <c r="H24" s="175"/>
      <c r="I24" s="171"/>
      <c r="J24" s="171"/>
      <c r="K24" s="176"/>
      <c r="L24" s="177"/>
      <c r="M24" s="177"/>
      <c r="N24" s="177"/>
      <c r="O24" s="187"/>
      <c r="P24" s="179"/>
      <c r="Q24" s="177"/>
      <c r="R24" s="180"/>
      <c r="S24" s="181"/>
      <c r="T24" s="177"/>
      <c r="U24" s="181"/>
      <c r="V24" s="177"/>
      <c r="W24" s="182"/>
      <c r="X24" s="177"/>
      <c r="Y24" s="177"/>
      <c r="Z24" s="5"/>
      <c r="AA24" s="5"/>
      <c r="AB24" s="5"/>
      <c r="AC24" s="5"/>
      <c r="AD24" s="5"/>
      <c r="AE24" s="5"/>
      <c r="AF24" s="5"/>
      <c r="AG24" s="5"/>
    </row>
  </sheetData>
  <sheetProtection algorithmName="SHA-512" hashValue="cPkV+i6J/Tv8ZiZDH+M7UyEkSiFNV1R27FsHzXUvfEOoh+FU2mls/QtM1r8nRBe8fsFxF5fcxYaq197WbKDYsw==" saltValue="j/CVddsK8toFylqQax7Snw==" spinCount="100000" sheet="1" objects="1" scenarios="1" selectLockedCells="1"/>
  <mergeCells count="29">
    <mergeCell ref="T5:U5"/>
    <mergeCell ref="AF5:AG5"/>
    <mergeCell ref="W5:W6"/>
    <mergeCell ref="Y5:Y6"/>
    <mergeCell ref="Z5:Z6"/>
    <mergeCell ref="AB5:AB6"/>
    <mergeCell ref="AC5:AD5"/>
    <mergeCell ref="AE5:AE6"/>
    <mergeCell ref="O5:O6"/>
    <mergeCell ref="P5:P6"/>
    <mergeCell ref="Q5:Q6"/>
    <mergeCell ref="R5:R6"/>
    <mergeCell ref="S5:S6"/>
    <mergeCell ref="L4:P4"/>
    <mergeCell ref="Y4:Z4"/>
    <mergeCell ref="AB4:AG4"/>
    <mergeCell ref="B5:B6"/>
    <mergeCell ref="C5:C6"/>
    <mergeCell ref="D5:E6"/>
    <mergeCell ref="F5:F6"/>
    <mergeCell ref="G5:G6"/>
    <mergeCell ref="H5:H6"/>
    <mergeCell ref="I5:I6"/>
    <mergeCell ref="V5:V6"/>
    <mergeCell ref="J5:J6"/>
    <mergeCell ref="K5:K6"/>
    <mergeCell ref="L5:L6"/>
    <mergeCell ref="M5:M6"/>
    <mergeCell ref="N5:N6"/>
  </mergeCells>
  <pageMargins left="0.7" right="0.7" top="0.75" bottom="0.75" header="0.3" footer="0.3"/>
  <pageSetup paperSize="9" orientation="portrait" horizontalDpi="4294967293" r:id="rId1"/>
  <legacy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Worksheets</vt:lpstr>
      </vt:variant>
      <vt:variant>
        <vt:i4>6</vt:i4>
      </vt:variant>
    </vt:vector>
  </HeadingPairs>
  <TitlesOfParts>
    <vt:vector size="6" baseType="lpstr">
      <vt:lpstr>Disclaimer</vt:lpstr>
      <vt:lpstr>Long Strategy</vt:lpstr>
      <vt:lpstr>Short Strategy</vt:lpstr>
      <vt:lpstr>Dual Strategy</vt:lpstr>
      <vt:lpstr>Neutral Strategy</vt:lpstr>
      <vt:lpstr>Cash Flow Strategy</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Zhili Zhang</cp:lastModifiedBy>
  <cp:revision/>
  <dcterms:created xsi:type="dcterms:W3CDTF">2015-05-26T03:13:12Z</dcterms:created>
  <dcterms:modified xsi:type="dcterms:W3CDTF">2025-07-30T07:38:15Z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2052-9.1.0.5060</vt:lpwstr>
  </property>
</Properties>
</file>